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17" sheetId="6" r:id="rId6"/>
  </sheets>
  <definedNames/>
  <calcPr fullCalcOnLoad="1"/>
</workbook>
</file>

<file path=xl/sharedStrings.xml><?xml version="1.0" encoding="utf-8"?>
<sst xmlns="http://schemas.openxmlformats.org/spreadsheetml/2006/main" count="921" uniqueCount="205">
  <si>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</si>
  <si>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</si>
  <si>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</si>
  <si>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</si>
  <si>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</si>
  <si>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</si>
  <si>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</si>
  <si>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</si>
  <si>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</si>
  <si>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</si>
  <si>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</si>
  <si>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</si>
  <si>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</si>
  <si>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</si>
  <si>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</si>
  <si>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</si>
  <si>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</si>
  <si>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</si>
  <si>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</si>
  <si>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</si>
  <si>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</si>
  <si>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</si>
  <si>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</si>
  <si>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</si>
  <si>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</si>
  <si>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</si>
  <si>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</si>
  <si>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</si>
  <si>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</si>
  <si>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</si>
  <si>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</si>
  <si>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</si>
  <si>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</si>
  <si>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</si>
  <si>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</si>
  <si>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</si>
  <si>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</si>
  <si>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</si>
  <si>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</si>
  <si>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</si>
  <si>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</si>
  <si>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</si>
  <si>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</si>
  <si>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</si>
  <si>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</si>
  <si>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</si>
  <si>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</si>
  <si>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</si>
  <si>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</si>
  <si>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</si>
  <si>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</si>
  <si>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</si>
  <si>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</si>
  <si>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</si>
  <si>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</si>
  <si>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</si>
  <si>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</si>
  <si>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</si>
  <si>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</si>
  <si>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</si>
  <si>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</si>
  <si>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</si>
  <si>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</si>
  <si>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</si>
  <si>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</si>
  <si>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</si>
  <si>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</si>
  <si>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</si>
  <si>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</si>
  <si>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</si>
  <si>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</si>
  <si>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</si>
  <si>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</si>
  <si>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</si>
  <si>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</si>
  <si>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</si>
  <si>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</si>
  <si>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</si>
  <si>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</si>
  <si>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</si>
  <si>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</si>
  <si>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</si>
  <si>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</si>
  <si>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</si>
  <si>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</si>
  <si>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</si>
  <si>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</si>
  <si>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</si>
  <si>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</si>
  <si>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</si>
  <si>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</si>
  <si>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</si>
  <si>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</si>
  <si>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</si>
  <si>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</si>
  <si>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</si>
  <si>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</si>
  <si>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</si>
  <si>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</si>
  <si>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</si>
  <si>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</si>
  <si>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</si>
  <si>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</si>
  <si>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</si>
  <si>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</si>
  <si>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</si>
  <si>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</si>
  <si>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</si>
  <si>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</si>
  <si>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</si>
  <si>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</si>
  <si>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</si>
  <si>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</si>
  <si>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</si>
  <si>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</si>
  <si>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</si>
  <si>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</si>
  <si>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</si>
  <si>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</si>
  <si>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</si>
  <si>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</si>
  <si>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</si>
  <si>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</si>
  <si>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</si>
  <si>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</si>
  <si>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</si>
  <si>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</si>
  <si>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</si>
  <si>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</si>
  <si>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</si>
  <si>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</si>
  <si>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</si>
  <si>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</si>
  <si>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</si>
  <si>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</si>
  <si>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</si>
  <si>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</si>
  <si>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</si>
  <si>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</si>
  <si>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</si>
  <si>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</si>
  <si>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</si>
  <si>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</si>
  <si>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</si>
  <si>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</si>
  <si>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</si>
  <si>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</si>
  <si>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</si>
  <si>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</si>
  <si>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</si>
  <si>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</si>
  <si>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</si>
  <si>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</si>
  <si>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</si>
  <si>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</si>
  <si>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</si>
  <si>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</si>
  <si>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</si>
  <si>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</si>
  <si>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</si>
  <si>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</si>
  <si>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</si>
  <si>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</si>
  <si>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</si>
  <si>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</si>
  <si>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</si>
  <si>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</si>
  <si>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</si>
  <si>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</si>
  <si>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</si>
  <si>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</si>
  <si>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</si>
  <si>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</si>
  <si>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</si>
  <si>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</si>
  <si>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</si>
  <si>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</si>
  <si>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</si>
  <si>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</si>
  <si>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</si>
  <si>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</si>
  <si>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</si>
  <si>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</si>
  <si>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</si>
  <si>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</si>
  <si>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</si>
  <si>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</si>
  <si>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</si>
  <si>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</si>
  <si>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</si>
  <si>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</si>
  <si>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</si>
  <si>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</si>
  <si>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</si>
  <si>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</si>
  <si>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</si>
  <si>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</si>
  <si>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</si>
  <si>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</si>
  <si>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</si>
  <si>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</si>
  <si>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</si>
  <si>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</si>
  <si>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19.06.17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</si>
  <si>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20.06.2017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</si>
</sst>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0" t="s">
        <v>204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5"/>
      <c r="S1" s="85"/>
    </row>
    <row r="2" spans="2:19" s="1" customFormat="1" ht="15.75" customHeight="1">
      <c r="B2" s="321"/>
      <c r="C2" s="321"/>
      <c r="D2" s="321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2"/>
      <c r="B3" s="324"/>
      <c r="C3" s="325" t="s">
        <v>0</v>
      </c>
      <c r="D3" s="326" t="s">
        <v>137</v>
      </c>
      <c r="E3" s="31"/>
      <c r="F3" s="327" t="s">
        <v>26</v>
      </c>
      <c r="G3" s="328"/>
      <c r="H3" s="328"/>
      <c r="I3" s="328"/>
      <c r="J3" s="329"/>
      <c r="K3" s="82"/>
      <c r="L3" s="82"/>
      <c r="M3" s="82"/>
      <c r="N3" s="330" t="s">
        <v>199</v>
      </c>
      <c r="O3" s="308" t="s">
        <v>200</v>
      </c>
      <c r="P3" s="308"/>
      <c r="Q3" s="308"/>
      <c r="R3" s="308"/>
      <c r="S3" s="308"/>
    </row>
    <row r="4" spans="1:19" ht="22.5" customHeight="1">
      <c r="A4" s="322"/>
      <c r="B4" s="324"/>
      <c r="C4" s="325"/>
      <c r="D4" s="326"/>
      <c r="E4" s="316" t="s">
        <v>196</v>
      </c>
      <c r="F4" s="302" t="s">
        <v>33</v>
      </c>
      <c r="G4" s="304" t="s">
        <v>197</v>
      </c>
      <c r="H4" s="306" t="s">
        <v>198</v>
      </c>
      <c r="I4" s="304" t="s">
        <v>125</v>
      </c>
      <c r="J4" s="306" t="s">
        <v>126</v>
      </c>
      <c r="K4" s="84" t="s">
        <v>128</v>
      </c>
      <c r="L4" s="202" t="s">
        <v>111</v>
      </c>
      <c r="M4" s="89" t="s">
        <v>63</v>
      </c>
      <c r="N4" s="306"/>
      <c r="O4" s="318" t="s">
        <v>203</v>
      </c>
      <c r="P4" s="304" t="s">
        <v>49</v>
      </c>
      <c r="Q4" s="309" t="s">
        <v>48</v>
      </c>
      <c r="R4" s="90" t="s">
        <v>64</v>
      </c>
      <c r="S4" s="90"/>
    </row>
    <row r="5" spans="1:19" ht="67.5" customHeight="1">
      <c r="A5" s="323"/>
      <c r="B5" s="324"/>
      <c r="C5" s="325"/>
      <c r="D5" s="326"/>
      <c r="E5" s="317"/>
      <c r="F5" s="303"/>
      <c r="G5" s="305"/>
      <c r="H5" s="307"/>
      <c r="I5" s="305"/>
      <c r="J5" s="307"/>
      <c r="K5" s="310" t="s">
        <v>201</v>
      </c>
      <c r="L5" s="311"/>
      <c r="M5" s="312"/>
      <c r="N5" s="307"/>
      <c r="O5" s="319"/>
      <c r="P5" s="305"/>
      <c r="Q5" s="309"/>
      <c r="R5" s="313" t="s">
        <v>202</v>
      </c>
      <c r="S5" s="314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608875.6</v>
      </c>
      <c r="F8" s="149">
        <f>F9+F15+F18+F19+F23+F17</f>
        <v>559024.09</v>
      </c>
      <c r="G8" s="149">
        <f aca="true" t="shared" si="0" ref="G8:G40">F8-E8</f>
        <v>-49851.51000000001</v>
      </c>
      <c r="H8" s="150">
        <f>F8/E8*100</f>
        <v>91.8125295216297</v>
      </c>
      <c r="I8" s="151">
        <f>F8-D8</f>
        <v>-739427.0100000001</v>
      </c>
      <c r="J8" s="151">
        <f>F8/D8*100</f>
        <v>43.05314924836214</v>
      </c>
      <c r="K8" s="149">
        <v>465511.42</v>
      </c>
      <c r="L8" s="149">
        <f aca="true" t="shared" si="1" ref="L8:L54">F8-K8</f>
        <v>93512.66999999998</v>
      </c>
      <c r="M8" s="203">
        <f aca="true" t="shared" si="2" ref="M8:M31">F8/K8</f>
        <v>1.2008815809502589</v>
      </c>
      <c r="N8" s="149">
        <f>N9+N15+N18+N19+N23+N17</f>
        <v>104172</v>
      </c>
      <c r="O8" s="149">
        <f>O9+O15+O18+O19+O23+O17</f>
        <v>53928.12999999996</v>
      </c>
      <c r="P8" s="149">
        <f>O8-N8</f>
        <v>-50243.87000000004</v>
      </c>
      <c r="Q8" s="149">
        <f>O8/N8*100</f>
        <v>51.76835426026184</v>
      </c>
      <c r="R8" s="15">
        <f>R9+R15+R18+R19+R23</f>
        <v>102514</v>
      </c>
      <c r="S8" s="15">
        <f>O8-R8</f>
        <v>-48585.87000000004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349240</v>
      </c>
      <c r="F9" s="154">
        <v>321931.05</v>
      </c>
      <c r="G9" s="148">
        <f t="shared" si="0"/>
        <v>-27308.95000000001</v>
      </c>
      <c r="H9" s="155">
        <f>F9/E9*100</f>
        <v>92.18046329171916</v>
      </c>
      <c r="I9" s="156">
        <f>F9-D9</f>
        <v>-444713.95</v>
      </c>
      <c r="J9" s="156">
        <f>F9/D9*100</f>
        <v>41.99219325763554</v>
      </c>
      <c r="K9" s="225">
        <v>261442.54</v>
      </c>
      <c r="L9" s="157">
        <f t="shared" si="1"/>
        <v>60488.50999999998</v>
      </c>
      <c r="M9" s="204">
        <f t="shared" si="2"/>
        <v>1.2313644520130502</v>
      </c>
      <c r="N9" s="155">
        <f>E9-травень!E9</f>
        <v>70400</v>
      </c>
      <c r="O9" s="158">
        <f>F9-травень!F9</f>
        <v>40299.46999999997</v>
      </c>
      <c r="P9" s="159">
        <f>O9-N9</f>
        <v>-30100.530000000028</v>
      </c>
      <c r="Q9" s="156">
        <f>O9/N9*100</f>
        <v>57.24356534090905</v>
      </c>
      <c r="R9" s="99">
        <v>71000</v>
      </c>
      <c r="S9" s="99">
        <f>O9-R9</f>
        <v>-30700.530000000028</v>
      </c>
    </row>
    <row r="10" spans="1:19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318064</v>
      </c>
      <c r="F10" s="138">
        <v>295877.97</v>
      </c>
      <c r="G10" s="102">
        <f t="shared" si="0"/>
        <v>-22186.030000000028</v>
      </c>
      <c r="H10" s="29">
        <f aca="true" t="shared" si="3" ref="H10:H39">F10/E10*100</f>
        <v>93.0246648473263</v>
      </c>
      <c r="I10" s="103">
        <f aca="true" t="shared" si="4" ref="I10:I40">F10-D10</f>
        <v>-405439.03</v>
      </c>
      <c r="J10" s="103">
        <f aca="true" t="shared" si="5" ref="J10:J39">F10/D10*100</f>
        <v>42.188906015396746</v>
      </c>
      <c r="K10" s="105">
        <v>231268.41</v>
      </c>
      <c r="L10" s="105">
        <f t="shared" si="1"/>
        <v>64609.55999999997</v>
      </c>
      <c r="M10" s="205">
        <f t="shared" si="2"/>
        <v>1.2793704509837724</v>
      </c>
      <c r="N10" s="104">
        <f>E10-травень!E10</f>
        <v>64904</v>
      </c>
      <c r="O10" s="142">
        <f>F10-травень!F10</f>
        <v>38298.78999999998</v>
      </c>
      <c r="P10" s="105">
        <f aca="true" t="shared" si="6" ref="P10:P40">O10-N10</f>
        <v>-26605.21000000002</v>
      </c>
      <c r="Q10" s="103">
        <f aca="true" t="shared" si="7" ref="Q10:Q27">O10/N10*100</f>
        <v>59.008366202391194</v>
      </c>
      <c r="R10" s="36"/>
      <c r="S10" s="99">
        <f aca="true" t="shared" si="8" ref="S10:S35">O10-R10</f>
        <v>38298.78999999998</v>
      </c>
    </row>
    <row r="11" spans="1:19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22200</v>
      </c>
      <c r="F11" s="138">
        <v>16965.75</v>
      </c>
      <c r="G11" s="102">
        <f t="shared" si="0"/>
        <v>-5234.25</v>
      </c>
      <c r="H11" s="29">
        <f t="shared" si="3"/>
        <v>76.42229729729729</v>
      </c>
      <c r="I11" s="103">
        <f t="shared" si="4"/>
        <v>-29540.25</v>
      </c>
      <c r="J11" s="103">
        <f t="shared" si="5"/>
        <v>36.48077667397755</v>
      </c>
      <c r="K11" s="105">
        <v>18032.25</v>
      </c>
      <c r="L11" s="105">
        <f t="shared" si="1"/>
        <v>-1066.5</v>
      </c>
      <c r="M11" s="205">
        <f t="shared" si="2"/>
        <v>0.9408559663935449</v>
      </c>
      <c r="N11" s="104">
        <f>E11-травень!E11</f>
        <v>3840</v>
      </c>
      <c r="O11" s="142">
        <f>F11-травень!F11</f>
        <v>1145.8500000000004</v>
      </c>
      <c r="P11" s="105">
        <f t="shared" si="6"/>
        <v>-2694.1499999999996</v>
      </c>
      <c r="Q11" s="103">
        <f t="shared" si="7"/>
        <v>29.83984375000001</v>
      </c>
      <c r="R11" s="36"/>
      <c r="S11" s="99">
        <f t="shared" si="8"/>
        <v>1145.8500000000004</v>
      </c>
    </row>
    <row r="12" spans="1:19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3840</v>
      </c>
      <c r="F12" s="138">
        <v>4146.2</v>
      </c>
      <c r="G12" s="102">
        <f t="shared" si="0"/>
        <v>306.1999999999998</v>
      </c>
      <c r="H12" s="29">
        <f t="shared" si="3"/>
        <v>107.97395833333331</v>
      </c>
      <c r="I12" s="103">
        <f t="shared" si="4"/>
        <v>-4133.8</v>
      </c>
      <c r="J12" s="103">
        <f t="shared" si="5"/>
        <v>50.07487922705314</v>
      </c>
      <c r="K12" s="105">
        <v>5288.66</v>
      </c>
      <c r="L12" s="105">
        <f t="shared" si="1"/>
        <v>-1142.46</v>
      </c>
      <c r="M12" s="205">
        <f t="shared" si="2"/>
        <v>0.7839793066674734</v>
      </c>
      <c r="N12" s="104">
        <f>E12-травень!E12</f>
        <v>900</v>
      </c>
      <c r="O12" s="142">
        <f>F12-травень!F12</f>
        <v>403.9399999999996</v>
      </c>
      <c r="P12" s="105">
        <f t="shared" si="6"/>
        <v>-496.0600000000004</v>
      </c>
      <c r="Q12" s="103">
        <f t="shared" si="7"/>
        <v>44.88222222222218</v>
      </c>
      <c r="R12" s="36"/>
      <c r="S12" s="99">
        <f t="shared" si="8"/>
        <v>403.9399999999996</v>
      </c>
    </row>
    <row r="13" spans="1:19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4560</v>
      </c>
      <c r="F13" s="138">
        <v>4233.78</v>
      </c>
      <c r="G13" s="102">
        <f t="shared" si="0"/>
        <v>-326.22000000000025</v>
      </c>
      <c r="H13" s="29">
        <f t="shared" si="3"/>
        <v>92.84605263157894</v>
      </c>
      <c r="I13" s="103">
        <f t="shared" si="4"/>
        <v>-5156.22</v>
      </c>
      <c r="J13" s="103">
        <f t="shared" si="5"/>
        <v>45.08817891373801</v>
      </c>
      <c r="K13" s="105">
        <v>4452.61</v>
      </c>
      <c r="L13" s="105">
        <f t="shared" si="1"/>
        <v>-218.82999999999993</v>
      </c>
      <c r="M13" s="205">
        <f t="shared" si="2"/>
        <v>0.9508535443256877</v>
      </c>
      <c r="N13" s="104">
        <f>E13-травень!E13</f>
        <v>660</v>
      </c>
      <c r="O13" s="142">
        <f>F13-травень!F13</f>
        <v>351.1899999999996</v>
      </c>
      <c r="P13" s="105">
        <f t="shared" si="6"/>
        <v>-308.8100000000004</v>
      </c>
      <c r="Q13" s="103">
        <f t="shared" si="7"/>
        <v>53.210606060606004</v>
      </c>
      <c r="R13" s="36"/>
      <c r="S13" s="99">
        <f t="shared" si="8"/>
        <v>351.1899999999996</v>
      </c>
    </row>
    <row r="14" spans="1:19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576</v>
      </c>
      <c r="F14" s="138">
        <v>707.36</v>
      </c>
      <c r="G14" s="102">
        <f t="shared" si="0"/>
        <v>131.36</v>
      </c>
      <c r="H14" s="29">
        <f t="shared" si="3"/>
        <v>122.80555555555557</v>
      </c>
      <c r="I14" s="103">
        <f t="shared" si="4"/>
        <v>-444.64</v>
      </c>
      <c r="J14" s="103">
        <f t="shared" si="5"/>
        <v>61.402777777777786</v>
      </c>
      <c r="K14" s="105">
        <v>2400.61</v>
      </c>
      <c r="L14" s="105">
        <f t="shared" si="1"/>
        <v>-1693.25</v>
      </c>
      <c r="M14" s="205">
        <f t="shared" si="2"/>
        <v>0.2946584409795843</v>
      </c>
      <c r="N14" s="104">
        <f>E14-травень!E14</f>
        <v>96</v>
      </c>
      <c r="O14" s="142">
        <f>F14-травень!F14</f>
        <v>99.71000000000004</v>
      </c>
      <c r="P14" s="105">
        <f t="shared" si="6"/>
        <v>3.7100000000000364</v>
      </c>
      <c r="Q14" s="103">
        <f t="shared" si="7"/>
        <v>103.86458333333337</v>
      </c>
      <c r="R14" s="36"/>
      <c r="S14" s="99">
        <f t="shared" si="8"/>
        <v>99.71000000000004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E15-травень!E15</f>
        <v>0</v>
      </c>
      <c r="O15" s="166">
        <f>F15-травень!F15</f>
        <v>0</v>
      </c>
      <c r="P15" s="159">
        <f t="shared" si="6"/>
        <v>0</v>
      </c>
      <c r="Q15" s="156"/>
      <c r="R15" s="36">
        <v>0</v>
      </c>
      <c r="S15" s="99">
        <f t="shared" si="8"/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E16-травень!E16</f>
        <v>0</v>
      </c>
      <c r="O16" s="166">
        <f>F16-травень!F16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E17-травень!E17</f>
        <v>0</v>
      </c>
      <c r="O17" s="166">
        <f>F17-травень!F17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E18-травень!E18</f>
        <v>0</v>
      </c>
      <c r="O18" s="166">
        <f>F18-травень!F18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59600</v>
      </c>
      <c r="F19" s="154">
        <v>47604.33</v>
      </c>
      <c r="G19" s="160">
        <f t="shared" si="0"/>
        <v>-11995.669999999998</v>
      </c>
      <c r="H19" s="162">
        <f t="shared" si="3"/>
        <v>79.87303691275169</v>
      </c>
      <c r="I19" s="163">
        <f t="shared" si="4"/>
        <v>-82395.67</v>
      </c>
      <c r="J19" s="163">
        <f t="shared" si="5"/>
        <v>36.618715384615385</v>
      </c>
      <c r="K19" s="159">
        <v>44512.02</v>
      </c>
      <c r="L19" s="165">
        <f t="shared" si="1"/>
        <v>3092.310000000005</v>
      </c>
      <c r="M19" s="211">
        <f t="shared" si="2"/>
        <v>1.069471347290013</v>
      </c>
      <c r="N19" s="162">
        <f>E19-травень!E19</f>
        <v>11200</v>
      </c>
      <c r="O19" s="166">
        <f>F19-травень!F19</f>
        <v>2609.2400000000052</v>
      </c>
      <c r="P19" s="165">
        <f t="shared" si="6"/>
        <v>-8590.759999999995</v>
      </c>
      <c r="Q19" s="163">
        <f t="shared" si="7"/>
        <v>23.29678571428576</v>
      </c>
      <c r="R19" s="291">
        <v>8800</v>
      </c>
      <c r="S19" s="99">
        <f t="shared" si="8"/>
        <v>-6190.759999999995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35900</v>
      </c>
      <c r="F20" s="199">
        <v>26877.78</v>
      </c>
      <c r="G20" s="250">
        <f t="shared" si="0"/>
        <v>-9022.220000000001</v>
      </c>
      <c r="H20" s="193">
        <f t="shared" si="3"/>
        <v>74.86846796657382</v>
      </c>
      <c r="I20" s="251">
        <f t="shared" si="4"/>
        <v>-49622.22</v>
      </c>
      <c r="J20" s="251">
        <f t="shared" si="5"/>
        <v>35.134352941176466</v>
      </c>
      <c r="K20" s="252">
        <v>44512.02</v>
      </c>
      <c r="L20" s="164">
        <f t="shared" si="1"/>
        <v>-17634.239999999998</v>
      </c>
      <c r="M20" s="253">
        <f t="shared" si="2"/>
        <v>0.6038319537059877</v>
      </c>
      <c r="N20" s="193">
        <f>E20-травень!E20</f>
        <v>6250</v>
      </c>
      <c r="O20" s="177">
        <f>F20-травень!F20</f>
        <v>749.2899999999972</v>
      </c>
      <c r="P20" s="164">
        <f t="shared" si="6"/>
        <v>-5500.710000000003</v>
      </c>
      <c r="Q20" s="251">
        <f t="shared" si="7"/>
        <v>11.988639999999956</v>
      </c>
      <c r="R20" s="103">
        <v>4450</v>
      </c>
      <c r="S20" s="103">
        <f t="shared" si="8"/>
        <v>-3700.7100000000028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4900</v>
      </c>
      <c r="F21" s="199">
        <v>4171.87</v>
      </c>
      <c r="G21" s="250">
        <f t="shared" si="0"/>
        <v>-728.1300000000001</v>
      </c>
      <c r="H21" s="193"/>
      <c r="I21" s="251">
        <f t="shared" si="4"/>
        <v>-6528.13</v>
      </c>
      <c r="J21" s="251">
        <f t="shared" si="5"/>
        <v>38.98943925233645</v>
      </c>
      <c r="K21" s="252">
        <v>0</v>
      </c>
      <c r="L21" s="164">
        <f t="shared" si="1"/>
        <v>4171.87</v>
      </c>
      <c r="M21" s="253"/>
      <c r="N21" s="193">
        <f>E21-травень!E21</f>
        <v>950</v>
      </c>
      <c r="O21" s="177">
        <f>F21-травень!F21</f>
        <v>78.17999999999984</v>
      </c>
      <c r="P21" s="164">
        <f t="shared" si="6"/>
        <v>-871.8200000000002</v>
      </c>
      <c r="Q21" s="251"/>
      <c r="R21" s="103">
        <v>900</v>
      </c>
      <c r="S21" s="103">
        <f t="shared" si="8"/>
        <v>-821.8200000000002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18800</v>
      </c>
      <c r="F22" s="199">
        <v>16554.69</v>
      </c>
      <c r="G22" s="250">
        <f t="shared" si="0"/>
        <v>-2245.3100000000013</v>
      </c>
      <c r="H22" s="193"/>
      <c r="I22" s="251">
        <f t="shared" si="4"/>
        <v>-26245.31</v>
      </c>
      <c r="J22" s="251">
        <f t="shared" si="5"/>
        <v>38.67918224299065</v>
      </c>
      <c r="K22" s="252">
        <v>0</v>
      </c>
      <c r="L22" s="164">
        <f t="shared" si="1"/>
        <v>16554.69</v>
      </c>
      <c r="M22" s="253"/>
      <c r="N22" s="193">
        <f>E22-травень!E22</f>
        <v>4000</v>
      </c>
      <c r="O22" s="177">
        <f>F22-травень!F22</f>
        <v>1781.7699999999986</v>
      </c>
      <c r="P22" s="164">
        <f t="shared" si="6"/>
        <v>-2218.2300000000014</v>
      </c>
      <c r="Q22" s="251"/>
      <c r="R22" s="103">
        <v>3800</v>
      </c>
      <c r="S22" s="103">
        <f t="shared" si="8"/>
        <v>-2018.2300000000014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199624.59999999998</v>
      </c>
      <c r="F23" s="221">
        <f>F24+F32+F33+F34+F35</f>
        <v>189325.19999999998</v>
      </c>
      <c r="G23" s="148">
        <f t="shared" si="0"/>
        <v>-10299.399999999994</v>
      </c>
      <c r="H23" s="155">
        <f t="shared" si="3"/>
        <v>94.84061583592404</v>
      </c>
      <c r="I23" s="156">
        <f t="shared" si="4"/>
        <v>-211804.9</v>
      </c>
      <c r="J23" s="156">
        <f t="shared" si="5"/>
        <v>47.197953980516544</v>
      </c>
      <c r="K23" s="156">
        <v>159141.65</v>
      </c>
      <c r="L23" s="159">
        <f t="shared" si="1"/>
        <v>30183.54999999999</v>
      </c>
      <c r="M23" s="207">
        <f t="shared" si="2"/>
        <v>1.1896646792338774</v>
      </c>
      <c r="N23" s="155">
        <f>E23-травень!E23</f>
        <v>22572</v>
      </c>
      <c r="O23" s="158">
        <f>F23-травень!F23</f>
        <v>11019.419999999984</v>
      </c>
      <c r="P23" s="159">
        <f t="shared" si="6"/>
        <v>-11552.580000000016</v>
      </c>
      <c r="Q23" s="156">
        <f t="shared" si="7"/>
        <v>48.81897926634762</v>
      </c>
      <c r="R23" s="285">
        <f>R24+R33+R35</f>
        <v>22714</v>
      </c>
      <c r="S23" s="291">
        <f t="shared" si="8"/>
        <v>-11694.580000000016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98672.9</v>
      </c>
      <c r="F24" s="221">
        <f>F25+F28+F29</f>
        <v>86685.59</v>
      </c>
      <c r="G24" s="148">
        <f t="shared" si="0"/>
        <v>-11987.309999999998</v>
      </c>
      <c r="H24" s="155">
        <f t="shared" si="3"/>
        <v>87.85146681611668</v>
      </c>
      <c r="I24" s="156">
        <f t="shared" si="4"/>
        <v>-119935.41</v>
      </c>
      <c r="J24" s="156">
        <f t="shared" si="5"/>
        <v>41.95391078351184</v>
      </c>
      <c r="K24" s="156">
        <v>85994.38</v>
      </c>
      <c r="L24" s="159">
        <f t="shared" si="1"/>
        <v>691.2099999999919</v>
      </c>
      <c r="M24" s="207">
        <f t="shared" si="2"/>
        <v>1.0080378508456016</v>
      </c>
      <c r="N24" s="155">
        <f>E24-травень!E24</f>
        <v>15965</v>
      </c>
      <c r="O24" s="158">
        <f>F24-травень!F24</f>
        <v>4953.459999999992</v>
      </c>
      <c r="P24" s="159">
        <f t="shared" si="6"/>
        <v>-11011.540000000008</v>
      </c>
      <c r="Q24" s="156">
        <f t="shared" si="7"/>
        <v>31.026996554963933</v>
      </c>
      <c r="R24" s="290">
        <f>R25+R28+R29</f>
        <v>15007</v>
      </c>
      <c r="S24" s="290">
        <f t="shared" si="8"/>
        <v>-10053.540000000008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10389.1</v>
      </c>
      <c r="F25" s="170">
        <v>10283.91</v>
      </c>
      <c r="G25" s="169">
        <f t="shared" si="0"/>
        <v>-105.19000000000051</v>
      </c>
      <c r="H25" s="171">
        <f t="shared" si="3"/>
        <v>98.98749651076608</v>
      </c>
      <c r="I25" s="172">
        <f t="shared" si="4"/>
        <v>-12525.09</v>
      </c>
      <c r="J25" s="172">
        <f t="shared" si="5"/>
        <v>45.08707089306853</v>
      </c>
      <c r="K25" s="173">
        <v>9233.59</v>
      </c>
      <c r="L25" s="164">
        <f t="shared" si="1"/>
        <v>1050.3199999999997</v>
      </c>
      <c r="M25" s="213">
        <f t="shared" si="2"/>
        <v>1.1137499065910441</v>
      </c>
      <c r="N25" s="193">
        <f>E25-травень!E25</f>
        <v>805</v>
      </c>
      <c r="O25" s="177">
        <f>F25-травень!F25</f>
        <v>147.86999999999898</v>
      </c>
      <c r="P25" s="175">
        <f t="shared" si="6"/>
        <v>-657.130000000001</v>
      </c>
      <c r="Q25" s="172">
        <f t="shared" si="7"/>
        <v>18.368944099378755</v>
      </c>
      <c r="R25" s="103">
        <v>800</v>
      </c>
      <c r="S25" s="103">
        <f t="shared" si="8"/>
        <v>-652.130000000001</v>
      </c>
    </row>
    <row r="26" spans="1:19" s="6" customFormat="1" ht="18" customHeight="1" hidden="1">
      <c r="A26" s="8"/>
      <c r="B26" s="194" t="s">
        <v>107</v>
      </c>
      <c r="C26" s="195"/>
      <c r="D26" s="196">
        <v>1822.3</v>
      </c>
      <c r="E26" s="196">
        <v>710</v>
      </c>
      <c r="F26" s="161">
        <v>204.38</v>
      </c>
      <c r="G26" s="196">
        <f t="shared" si="0"/>
        <v>-505.62</v>
      </c>
      <c r="H26" s="197">
        <f t="shared" si="3"/>
        <v>28.78591549295775</v>
      </c>
      <c r="I26" s="198">
        <f t="shared" si="4"/>
        <v>-1617.92</v>
      </c>
      <c r="J26" s="198">
        <f t="shared" si="5"/>
        <v>11.21549689952258</v>
      </c>
      <c r="K26" s="198">
        <v>342.1</v>
      </c>
      <c r="L26" s="198">
        <f t="shared" si="1"/>
        <v>-137.72000000000003</v>
      </c>
      <c r="M26" s="226">
        <f t="shared" si="2"/>
        <v>0.5974276527331189</v>
      </c>
      <c r="N26" s="234">
        <f>E26-травень!E26</f>
        <v>105</v>
      </c>
      <c r="O26" s="234">
        <f>F26-травень!F26</f>
        <v>7.109999999999985</v>
      </c>
      <c r="P26" s="198">
        <f t="shared" si="6"/>
        <v>-97.89000000000001</v>
      </c>
      <c r="Q26" s="198">
        <f t="shared" si="7"/>
        <v>6.771428571428557</v>
      </c>
      <c r="R26" s="103"/>
      <c r="S26" s="103">
        <f t="shared" si="8"/>
        <v>7.109999999999985</v>
      </c>
    </row>
    <row r="27" spans="1:19" s="6" customFormat="1" ht="18" customHeight="1" hidden="1">
      <c r="A27" s="8"/>
      <c r="B27" s="194" t="s">
        <v>108</v>
      </c>
      <c r="C27" s="195"/>
      <c r="D27" s="196">
        <v>20986.7</v>
      </c>
      <c r="E27" s="196">
        <v>9679.1</v>
      </c>
      <c r="F27" s="161">
        <v>10079.53</v>
      </c>
      <c r="G27" s="196">
        <f t="shared" si="0"/>
        <v>400.4300000000003</v>
      </c>
      <c r="H27" s="197">
        <f t="shared" si="3"/>
        <v>104.1370581975597</v>
      </c>
      <c r="I27" s="198">
        <f t="shared" si="4"/>
        <v>-10907.17</v>
      </c>
      <c r="J27" s="198">
        <f t="shared" si="5"/>
        <v>48.02817975193813</v>
      </c>
      <c r="K27" s="198">
        <v>8891.49</v>
      </c>
      <c r="L27" s="198">
        <f t="shared" si="1"/>
        <v>1188.0400000000009</v>
      </c>
      <c r="M27" s="226">
        <f t="shared" si="2"/>
        <v>1.133615400793343</v>
      </c>
      <c r="N27" s="234">
        <f>E27-травень!E27</f>
        <v>700</v>
      </c>
      <c r="O27" s="234">
        <f>F27-травень!F27</f>
        <v>140.76000000000022</v>
      </c>
      <c r="P27" s="198">
        <f t="shared" si="6"/>
        <v>-559.2399999999998</v>
      </c>
      <c r="Q27" s="198">
        <f t="shared" si="7"/>
        <v>20.10857142857146</v>
      </c>
      <c r="R27" s="103"/>
      <c r="S27" s="103">
        <f t="shared" si="8"/>
        <v>140.76000000000022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133.8</v>
      </c>
      <c r="F28" s="170">
        <v>-68.4</v>
      </c>
      <c r="G28" s="169">
        <f t="shared" si="0"/>
        <v>-202.20000000000002</v>
      </c>
      <c r="H28" s="171">
        <f t="shared" si="3"/>
        <v>-51.12107623318386</v>
      </c>
      <c r="I28" s="172">
        <f t="shared" si="4"/>
        <v>-888.4</v>
      </c>
      <c r="J28" s="172">
        <f t="shared" si="5"/>
        <v>-8.341463414634147</v>
      </c>
      <c r="K28" s="172">
        <v>435.05</v>
      </c>
      <c r="L28" s="172">
        <f t="shared" si="1"/>
        <v>-503.45000000000005</v>
      </c>
      <c r="M28" s="210">
        <f t="shared" si="2"/>
        <v>-0.15722330766578554</v>
      </c>
      <c r="N28" s="193">
        <f>E28-травень!E28</f>
        <v>5</v>
      </c>
      <c r="O28" s="177">
        <f>F28-травень!F28</f>
        <v>-22.92000000000001</v>
      </c>
      <c r="P28" s="175">
        <f t="shared" si="6"/>
        <v>-27.92000000000001</v>
      </c>
      <c r="Q28" s="172">
        <f>O28/N28*100</f>
        <v>-458.40000000000015</v>
      </c>
      <c r="R28" s="103">
        <v>-25</v>
      </c>
      <c r="S28" s="103">
        <f t="shared" si="8"/>
        <v>2.079999999999991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88150</v>
      </c>
      <c r="F29" s="170">
        <v>76470.08</v>
      </c>
      <c r="G29" s="169">
        <f t="shared" si="0"/>
        <v>-11679.919999999998</v>
      </c>
      <c r="H29" s="171">
        <f t="shared" si="3"/>
        <v>86.7499489506523</v>
      </c>
      <c r="I29" s="172">
        <f t="shared" si="4"/>
        <v>-106521.92</v>
      </c>
      <c r="J29" s="172">
        <f t="shared" si="5"/>
        <v>41.788755792602956</v>
      </c>
      <c r="K29" s="173">
        <v>76325.75</v>
      </c>
      <c r="L29" s="173">
        <f t="shared" si="1"/>
        <v>144.33000000000175</v>
      </c>
      <c r="M29" s="209">
        <f t="shared" si="2"/>
        <v>1.0018909738849602</v>
      </c>
      <c r="N29" s="193">
        <f>E29-травень!E29</f>
        <v>15155</v>
      </c>
      <c r="O29" s="177">
        <f>F29-травень!F29</f>
        <v>4828.509999999995</v>
      </c>
      <c r="P29" s="175">
        <f t="shared" si="6"/>
        <v>-10326.490000000005</v>
      </c>
      <c r="Q29" s="172">
        <f>O29/N29*100</f>
        <v>31.860838007258295</v>
      </c>
      <c r="R29" s="103">
        <v>14232</v>
      </c>
      <c r="S29" s="103">
        <f t="shared" si="8"/>
        <v>-9403.490000000005</v>
      </c>
    </row>
    <row r="30" spans="1:19" s="6" customFormat="1" ht="18" customHeight="1" hidden="1">
      <c r="A30" s="8"/>
      <c r="B30" s="194" t="s">
        <v>109</v>
      </c>
      <c r="C30" s="195"/>
      <c r="D30" s="196">
        <v>57533</v>
      </c>
      <c r="E30" s="196">
        <v>26780</v>
      </c>
      <c r="F30" s="161">
        <v>26645.23</v>
      </c>
      <c r="G30" s="196">
        <f t="shared" si="0"/>
        <v>-134.77000000000044</v>
      </c>
      <c r="H30" s="197">
        <f t="shared" si="3"/>
        <v>99.49675130694547</v>
      </c>
      <c r="I30" s="198">
        <f t="shared" si="4"/>
        <v>-30887.77</v>
      </c>
      <c r="J30" s="198">
        <f t="shared" si="5"/>
        <v>46.31295082822032</v>
      </c>
      <c r="K30" s="198">
        <v>23736.85</v>
      </c>
      <c r="L30" s="198">
        <f t="shared" si="1"/>
        <v>2908.380000000001</v>
      </c>
      <c r="M30" s="226">
        <f t="shared" si="2"/>
        <v>1.1225259459448074</v>
      </c>
      <c r="N30" s="234">
        <f>E30-травень!E30</f>
        <v>4700</v>
      </c>
      <c r="O30" s="234">
        <f>F30-травень!F30</f>
        <v>2493.989999999998</v>
      </c>
      <c r="P30" s="198">
        <f t="shared" si="6"/>
        <v>-2206.010000000002</v>
      </c>
      <c r="Q30" s="198">
        <f>O30/N30*100</f>
        <v>53.063617021276556</v>
      </c>
      <c r="R30" s="106"/>
      <c r="S30" s="99">
        <f t="shared" si="8"/>
        <v>2493.989999999998</v>
      </c>
    </row>
    <row r="31" spans="1:19" s="6" customFormat="1" ht="18" customHeight="1" hidden="1">
      <c r="A31" s="8"/>
      <c r="B31" s="194" t="s">
        <v>110</v>
      </c>
      <c r="C31" s="195"/>
      <c r="D31" s="196">
        <v>125459</v>
      </c>
      <c r="E31" s="196">
        <v>61370</v>
      </c>
      <c r="F31" s="161">
        <v>49824.85</v>
      </c>
      <c r="G31" s="196">
        <f t="shared" si="0"/>
        <v>-11545.150000000001</v>
      </c>
      <c r="H31" s="197">
        <f t="shared" si="3"/>
        <v>81.18763239367769</v>
      </c>
      <c r="I31" s="198">
        <f t="shared" si="4"/>
        <v>-75634.15</v>
      </c>
      <c r="J31" s="198">
        <f t="shared" si="5"/>
        <v>39.71405000836927</v>
      </c>
      <c r="K31" s="198">
        <v>52588.89</v>
      </c>
      <c r="L31" s="198">
        <f t="shared" si="1"/>
        <v>-2764.040000000001</v>
      </c>
      <c r="M31" s="226">
        <f t="shared" si="2"/>
        <v>0.9474406096040437</v>
      </c>
      <c r="N31" s="234">
        <f>E31-травень!E31</f>
        <v>10455</v>
      </c>
      <c r="O31" s="234">
        <f>F31-травень!F31</f>
        <v>2334.519999999997</v>
      </c>
      <c r="P31" s="198">
        <f t="shared" si="6"/>
        <v>-8120.480000000003</v>
      </c>
      <c r="Q31" s="198">
        <f>O31/N31*100</f>
        <v>22.329220468675246</v>
      </c>
      <c r="R31" s="106"/>
      <c r="S31" s="99">
        <f t="shared" si="8"/>
        <v>2334.519999999997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E32-травень!E32</f>
        <v>0</v>
      </c>
      <c r="O32" s="158">
        <f>F32-травень!F32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46</v>
      </c>
      <c r="F33" s="154">
        <v>75.23</v>
      </c>
      <c r="G33" s="148">
        <f t="shared" si="0"/>
        <v>29.230000000000004</v>
      </c>
      <c r="H33" s="155">
        <f t="shared" si="3"/>
        <v>163.54347826086956</v>
      </c>
      <c r="I33" s="156">
        <f t="shared" si="4"/>
        <v>-39.769999999999996</v>
      </c>
      <c r="J33" s="156">
        <f t="shared" si="5"/>
        <v>65.41739130434783</v>
      </c>
      <c r="K33" s="156">
        <v>55.62</v>
      </c>
      <c r="L33" s="156">
        <f t="shared" si="1"/>
        <v>19.610000000000007</v>
      </c>
      <c r="M33" s="208">
        <f>F33/K33</f>
        <v>1.3525710176195613</v>
      </c>
      <c r="N33" s="155">
        <f>E33-травень!E33</f>
        <v>7</v>
      </c>
      <c r="O33" s="158">
        <f>F33-травень!F33</f>
        <v>0</v>
      </c>
      <c r="P33" s="159">
        <f t="shared" si="6"/>
        <v>-7</v>
      </c>
      <c r="Q33" s="156">
        <f>O33/N33*100</f>
        <v>0</v>
      </c>
      <c r="R33" s="290">
        <v>7</v>
      </c>
      <c r="S33" s="290">
        <f t="shared" si="8"/>
        <v>-7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-31.32</v>
      </c>
      <c r="G34" s="148">
        <f t="shared" si="0"/>
        <v>-31.32</v>
      </c>
      <c r="H34" s="155"/>
      <c r="I34" s="156">
        <f t="shared" si="4"/>
        <v>-31.32</v>
      </c>
      <c r="J34" s="156"/>
      <c r="K34" s="156">
        <v>-125.04</v>
      </c>
      <c r="L34" s="156">
        <f t="shared" si="1"/>
        <v>93.72</v>
      </c>
      <c r="M34" s="208">
        <f>F34/K34</f>
        <v>0.2504798464491363</v>
      </c>
      <c r="N34" s="155">
        <f>E34-травень!E34</f>
        <v>0</v>
      </c>
      <c r="O34" s="158">
        <f>F34-травень!F34</f>
        <v>-4.550000000000001</v>
      </c>
      <c r="P34" s="159">
        <f t="shared" si="6"/>
        <v>-4.550000000000001</v>
      </c>
      <c r="Q34" s="156"/>
      <c r="R34" s="290"/>
      <c r="S34" s="290">
        <f t="shared" si="8"/>
        <v>-4.550000000000001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100905.7</v>
      </c>
      <c r="F35" s="161">
        <v>102595.5</v>
      </c>
      <c r="G35" s="160">
        <f t="shared" si="0"/>
        <v>1689.800000000003</v>
      </c>
      <c r="H35" s="162">
        <f t="shared" si="3"/>
        <v>101.67463285027507</v>
      </c>
      <c r="I35" s="163">
        <f t="shared" si="4"/>
        <v>-91798.6</v>
      </c>
      <c r="J35" s="163">
        <f t="shared" si="5"/>
        <v>52.77706473601822</v>
      </c>
      <c r="K35" s="176">
        <v>73216.69</v>
      </c>
      <c r="L35" s="176">
        <f>F35-K35</f>
        <v>29378.809999999998</v>
      </c>
      <c r="M35" s="224">
        <f>F35/K35</f>
        <v>1.401258374285972</v>
      </c>
      <c r="N35" s="155">
        <f>E35-травень!E35</f>
        <v>6600</v>
      </c>
      <c r="O35" s="158">
        <f>F35-травень!F35</f>
        <v>6070.509999999995</v>
      </c>
      <c r="P35" s="165">
        <f t="shared" si="6"/>
        <v>-529.4900000000052</v>
      </c>
      <c r="Q35" s="163">
        <f>O35/N35*100</f>
        <v>91.97742424242416</v>
      </c>
      <c r="R35" s="290">
        <v>7700</v>
      </c>
      <c r="S35" s="290">
        <f t="shared" si="8"/>
        <v>-1629.4900000000052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E36-травень!E36</f>
        <v>0</v>
      </c>
      <c r="O36" s="142">
        <f>F36-травень!F36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20020</v>
      </c>
      <c r="F37" s="138">
        <v>19875.47</v>
      </c>
      <c r="G37" s="102">
        <f t="shared" si="0"/>
        <v>-144.52999999999884</v>
      </c>
      <c r="H37" s="104">
        <f t="shared" si="3"/>
        <v>99.27807192807194</v>
      </c>
      <c r="I37" s="103">
        <f t="shared" si="4"/>
        <v>-21124.53</v>
      </c>
      <c r="J37" s="103">
        <f t="shared" si="5"/>
        <v>48.47675609756098</v>
      </c>
      <c r="K37" s="126">
        <v>18313.06</v>
      </c>
      <c r="L37" s="126">
        <f t="shared" si="1"/>
        <v>1562.4099999999999</v>
      </c>
      <c r="M37" s="214">
        <f t="shared" si="9"/>
        <v>1.0853167084037294</v>
      </c>
      <c r="N37" s="104">
        <f>E37-травень!E37</f>
        <v>1100</v>
      </c>
      <c r="O37" s="142">
        <f>F37-травень!F37</f>
        <v>613.7800000000025</v>
      </c>
      <c r="P37" s="105">
        <f t="shared" si="6"/>
        <v>-486.2199999999975</v>
      </c>
      <c r="Q37" s="103">
        <f>O37/N37*100</f>
        <v>55.798181818182044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80860</v>
      </c>
      <c r="F38" s="138">
        <v>82696.93</v>
      </c>
      <c r="G38" s="102">
        <f t="shared" si="0"/>
        <v>1836.929999999993</v>
      </c>
      <c r="H38" s="104">
        <f t="shared" si="3"/>
        <v>102.27174128122681</v>
      </c>
      <c r="I38" s="103">
        <f t="shared" si="4"/>
        <v>-70642.17000000001</v>
      </c>
      <c r="J38" s="103">
        <f t="shared" si="5"/>
        <v>53.93075216953797</v>
      </c>
      <c r="K38" s="126">
        <v>54889.45</v>
      </c>
      <c r="L38" s="126">
        <f t="shared" si="1"/>
        <v>27807.479999999996</v>
      </c>
      <c r="M38" s="214">
        <f t="shared" si="9"/>
        <v>1.5066088292012398</v>
      </c>
      <c r="N38" s="104">
        <f>E38-травень!E38</f>
        <v>5500</v>
      </c>
      <c r="O38" s="142">
        <f>F38-травень!F38</f>
        <v>5456.739999999991</v>
      </c>
      <c r="P38" s="105">
        <f t="shared" si="6"/>
        <v>-43.26000000000931</v>
      </c>
      <c r="Q38" s="103">
        <f>O38/N38*100</f>
        <v>99.21345454545437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E39-травень!E39</f>
        <v>0</v>
      </c>
      <c r="O39" s="142">
        <f>F39-травень!F39</f>
        <v>0</v>
      </c>
      <c r="P39" s="105">
        <f t="shared" si="6"/>
        <v>0</v>
      </c>
      <c r="Q39" s="103"/>
      <c r="R39" s="106"/>
      <c r="S39" s="106"/>
    </row>
    <row r="40" spans="1:19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E40-травень!E40</f>
        <v>0</v>
      </c>
      <c r="O40" s="158">
        <f>F40-травень!F40</f>
        <v>0</v>
      </c>
      <c r="P40" s="35">
        <f t="shared" si="6"/>
        <v>0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29916.1</v>
      </c>
      <c r="F41" s="284">
        <f>F42+F43+F44+F45+F46+F48+F50+F51+F52+F53+F54+F59+F60+F64+F47+F40</f>
        <v>32604.68999999999</v>
      </c>
      <c r="G41" s="149">
        <f>G42+G43+G44+G45+G46+G48+G50+G51+G52+G53+G54+G59+G60+G64</f>
        <v>2664.829999999999</v>
      </c>
      <c r="H41" s="150">
        <f>F41/E41*100</f>
        <v>108.98710059132037</v>
      </c>
      <c r="I41" s="151">
        <f>F41-D41</f>
        <v>-26420.31000000001</v>
      </c>
      <c r="J41" s="151">
        <f>F41/D41*100</f>
        <v>55.23878017789071</v>
      </c>
      <c r="K41" s="149">
        <v>29260.66</v>
      </c>
      <c r="L41" s="149">
        <f t="shared" si="1"/>
        <v>3344.0299999999916</v>
      </c>
      <c r="M41" s="203">
        <f t="shared" si="9"/>
        <v>1.1142841617379782</v>
      </c>
      <c r="N41" s="149">
        <f>N42+N43+N44+N45+N46+N48+N50+N51+N52+N53+N54+N59+N60+N64+N47</f>
        <v>5118.8</v>
      </c>
      <c r="O41" s="149">
        <f>O42+O43+O44+O45+O46+O48+O50+O51+O52+O53+O54+O59+O60+O64+O47+O40</f>
        <v>5249.58</v>
      </c>
      <c r="P41" s="149">
        <f>P42+P43+P44+P45+P46+P48+P50+P51+P52+P53+P54+P59+P60+P64</f>
        <v>67.57999999999879</v>
      </c>
      <c r="Q41" s="149">
        <f>O41/N41*100</f>
        <v>102.55489567867468</v>
      </c>
      <c r="R41" s="15">
        <f>R42+R43+R44+R45+R46+R47+R48+R50+R51+R52+R53+R54+R59+R60+R64</f>
        <v>5598.5</v>
      </c>
      <c r="S41" s="15">
        <f>O41-R41</f>
        <v>-348.9200000000001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E42-травень!E42</f>
        <v>0</v>
      </c>
      <c r="O42" s="166">
        <f>F42-травень!F42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13700</v>
      </c>
      <c r="F43" s="154">
        <v>13353.64</v>
      </c>
      <c r="G43" s="160">
        <f aca="true" t="shared" si="12" ref="G43:G66">F43-E43</f>
        <v>-346.3600000000006</v>
      </c>
      <c r="H43" s="162">
        <f t="shared" si="10"/>
        <v>97.47182481751825</v>
      </c>
      <c r="I43" s="163">
        <f aca="true" t="shared" si="13" ref="I43:I66">F43-D43</f>
        <v>-16646.36</v>
      </c>
      <c r="J43" s="163">
        <f>F43/D43*100</f>
        <v>44.51213333333333</v>
      </c>
      <c r="K43" s="163">
        <v>13895.81</v>
      </c>
      <c r="L43" s="163">
        <f t="shared" si="1"/>
        <v>-542.1700000000001</v>
      </c>
      <c r="M43" s="216"/>
      <c r="N43" s="162">
        <f>E43-травень!E43</f>
        <v>2800</v>
      </c>
      <c r="O43" s="166">
        <f>F43-травень!F43</f>
        <v>2874.4799999999996</v>
      </c>
      <c r="P43" s="165">
        <f aca="true" t="shared" si="14" ref="P43:P66">O43-N43</f>
        <v>74.47999999999956</v>
      </c>
      <c r="Q43" s="163">
        <f t="shared" si="11"/>
        <v>102.65999999999997</v>
      </c>
      <c r="R43" s="36">
        <v>2874.5</v>
      </c>
      <c r="S43" s="36">
        <f aca="true" t="shared" si="15" ref="S43:S66">O43-R43</f>
        <v>-0.020000000000436557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22</v>
      </c>
      <c r="F44" s="154">
        <v>92.8</v>
      </c>
      <c r="G44" s="160">
        <f t="shared" si="12"/>
        <v>70.8</v>
      </c>
      <c r="H44" s="162">
        <f>F44/E44*100</f>
        <v>421.81818181818176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28.07</v>
      </c>
      <c r="L44" s="163">
        <f t="shared" si="1"/>
        <v>64.72999999999999</v>
      </c>
      <c r="M44" s="216">
        <f aca="true" t="shared" si="17" ref="M44:M66">F44/K44</f>
        <v>3.3060206626291415</v>
      </c>
      <c r="N44" s="162">
        <f>E44-травень!E44</f>
        <v>1</v>
      </c>
      <c r="O44" s="166">
        <f>F44-травень!F44</f>
        <v>0</v>
      </c>
      <c r="P44" s="165">
        <f t="shared" si="14"/>
        <v>-1</v>
      </c>
      <c r="Q44" s="163">
        <f t="shared" si="11"/>
        <v>0</v>
      </c>
      <c r="R44" s="36">
        <v>10</v>
      </c>
      <c r="S44" s="36">
        <f t="shared" si="15"/>
        <v>-10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E45-травень!E45</f>
        <v>0</v>
      </c>
      <c r="O45" s="166">
        <f>F45-травень!F45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128</v>
      </c>
      <c r="F46" s="154">
        <v>474.08</v>
      </c>
      <c r="G46" s="160">
        <f t="shared" si="12"/>
        <v>346.08</v>
      </c>
      <c r="H46" s="162">
        <f t="shared" si="10"/>
        <v>370.375</v>
      </c>
      <c r="I46" s="163">
        <f t="shared" si="13"/>
        <v>214.07999999999998</v>
      </c>
      <c r="J46" s="163">
        <f t="shared" si="16"/>
        <v>182.33846153846153</v>
      </c>
      <c r="K46" s="163">
        <v>60.97</v>
      </c>
      <c r="L46" s="163">
        <f t="shared" si="1"/>
        <v>413.11</v>
      </c>
      <c r="M46" s="216">
        <f t="shared" si="17"/>
        <v>7.7756273577169095</v>
      </c>
      <c r="N46" s="162">
        <f>E46-травень!E46</f>
        <v>22</v>
      </c>
      <c r="O46" s="166">
        <f>F46-травень!F46</f>
        <v>31.819999999999993</v>
      </c>
      <c r="P46" s="165">
        <f t="shared" si="14"/>
        <v>9.819999999999993</v>
      </c>
      <c r="Q46" s="163">
        <f t="shared" si="11"/>
        <v>144.6363636363636</v>
      </c>
      <c r="R46" s="36">
        <v>70</v>
      </c>
      <c r="S46" s="36">
        <f t="shared" si="15"/>
        <v>-38.18000000000001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47.6</v>
      </c>
      <c r="F47" s="154">
        <v>71.01</v>
      </c>
      <c r="G47" s="160">
        <f t="shared" si="12"/>
        <v>23.410000000000004</v>
      </c>
      <c r="H47" s="162">
        <f t="shared" si="10"/>
        <v>149.18067226890756</v>
      </c>
      <c r="I47" s="163">
        <f t="shared" si="13"/>
        <v>-26.489999999999995</v>
      </c>
      <c r="J47" s="163">
        <f t="shared" si="16"/>
        <v>72.83076923076923</v>
      </c>
      <c r="K47" s="163">
        <v>13.6</v>
      </c>
      <c r="L47" s="163">
        <f t="shared" si="1"/>
        <v>57.410000000000004</v>
      </c>
      <c r="M47" s="216"/>
      <c r="N47" s="162">
        <f>E47-травень!E47</f>
        <v>6.800000000000004</v>
      </c>
      <c r="O47" s="166">
        <f>F47-травень!F47</f>
        <v>70</v>
      </c>
      <c r="P47" s="165">
        <f t="shared" si="14"/>
        <v>63.199999999999996</v>
      </c>
      <c r="Q47" s="163">
        <f t="shared" si="11"/>
        <v>1029.4117647058818</v>
      </c>
      <c r="R47" s="36">
        <v>0</v>
      </c>
      <c r="S47" s="36">
        <f t="shared" si="15"/>
        <v>70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460</v>
      </c>
      <c r="F48" s="154">
        <v>580.96</v>
      </c>
      <c r="G48" s="160">
        <f t="shared" si="12"/>
        <v>120.96000000000004</v>
      </c>
      <c r="H48" s="162">
        <f t="shared" si="10"/>
        <v>126.29565217391306</v>
      </c>
      <c r="I48" s="163">
        <f t="shared" si="13"/>
        <v>-149.03999999999996</v>
      </c>
      <c r="J48" s="163">
        <f t="shared" si="16"/>
        <v>79.58356164383562</v>
      </c>
      <c r="K48" s="163">
        <v>168.08</v>
      </c>
      <c r="L48" s="163">
        <f t="shared" si="1"/>
        <v>412.88</v>
      </c>
      <c r="M48" s="216"/>
      <c r="N48" s="162">
        <f>E48-травень!E48</f>
        <v>60</v>
      </c>
      <c r="O48" s="166">
        <f>F48-травень!F48</f>
        <v>75.83000000000004</v>
      </c>
      <c r="P48" s="165">
        <f t="shared" si="14"/>
        <v>15.830000000000041</v>
      </c>
      <c r="Q48" s="163">
        <f t="shared" si="11"/>
        <v>126.3833333333334</v>
      </c>
      <c r="R48" s="36">
        <v>100</v>
      </c>
      <c r="S48" s="36">
        <f t="shared" si="15"/>
        <v>-24.16999999999996</v>
      </c>
    </row>
    <row r="49" spans="1:19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E49-травень!E49</f>
        <v>0</v>
      </c>
      <c r="O49" s="166">
        <f>F49-травень!F49</f>
        <v>0</v>
      </c>
      <c r="P49" s="165"/>
      <c r="Q49" s="163"/>
      <c r="R49" s="36"/>
      <c r="S49" s="36">
        <f t="shared" si="15"/>
        <v>0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6040</v>
      </c>
      <c r="F50" s="154">
        <v>7494.88</v>
      </c>
      <c r="G50" s="160">
        <f t="shared" si="12"/>
        <v>1454.88</v>
      </c>
      <c r="H50" s="162">
        <f t="shared" si="10"/>
        <v>124.08741721854304</v>
      </c>
      <c r="I50" s="163">
        <f t="shared" si="13"/>
        <v>-3505.12</v>
      </c>
      <c r="J50" s="163">
        <f t="shared" si="16"/>
        <v>68.13527272727273</v>
      </c>
      <c r="K50" s="163">
        <v>5001.06</v>
      </c>
      <c r="L50" s="163">
        <f t="shared" si="1"/>
        <v>2493.8199999999997</v>
      </c>
      <c r="M50" s="216">
        <f t="shared" si="17"/>
        <v>1.4986582844436978</v>
      </c>
      <c r="N50" s="162">
        <f>E50-травень!E50</f>
        <v>900</v>
      </c>
      <c r="O50" s="166">
        <f>F50-травень!F50</f>
        <v>1244.6099999999997</v>
      </c>
      <c r="P50" s="165">
        <f t="shared" si="14"/>
        <v>344.6099999999997</v>
      </c>
      <c r="Q50" s="163">
        <f t="shared" si="11"/>
        <v>138.28999999999996</v>
      </c>
      <c r="R50" s="36">
        <v>1400</v>
      </c>
      <c r="S50" s="36">
        <f t="shared" si="15"/>
        <v>-155.39000000000033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150</v>
      </c>
      <c r="F51" s="154">
        <v>246.57</v>
      </c>
      <c r="G51" s="160">
        <f t="shared" si="12"/>
        <v>96.57</v>
      </c>
      <c r="H51" s="162">
        <f t="shared" si="10"/>
        <v>164.38</v>
      </c>
      <c r="I51" s="163">
        <f t="shared" si="13"/>
        <v>-63.43000000000001</v>
      </c>
      <c r="J51" s="163">
        <f t="shared" si="16"/>
        <v>79.53870967741935</v>
      </c>
      <c r="K51" s="163">
        <v>68.92</v>
      </c>
      <c r="L51" s="163">
        <f t="shared" si="1"/>
        <v>177.64999999999998</v>
      </c>
      <c r="M51" s="216"/>
      <c r="N51" s="162">
        <f>E51-травень!E51</f>
        <v>25</v>
      </c>
      <c r="O51" s="166">
        <f>F51-травень!F51</f>
        <v>30.22</v>
      </c>
      <c r="P51" s="165">
        <f t="shared" si="14"/>
        <v>5.219999999999999</v>
      </c>
      <c r="Q51" s="163">
        <f t="shared" si="11"/>
        <v>120.87999999999998</v>
      </c>
      <c r="R51" s="36">
        <v>40</v>
      </c>
      <c r="S51" s="36">
        <f t="shared" si="15"/>
        <v>-9.780000000000001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11</v>
      </c>
      <c r="F52" s="154">
        <v>12.32</v>
      </c>
      <c r="G52" s="160">
        <f t="shared" si="12"/>
        <v>1.3200000000000003</v>
      </c>
      <c r="H52" s="162">
        <f t="shared" si="10"/>
        <v>112.00000000000001</v>
      </c>
      <c r="I52" s="163">
        <f t="shared" si="13"/>
        <v>-7.68</v>
      </c>
      <c r="J52" s="163">
        <f t="shared" si="16"/>
        <v>61.6</v>
      </c>
      <c r="K52" s="163">
        <v>8.54</v>
      </c>
      <c r="L52" s="163">
        <f t="shared" si="1"/>
        <v>3.780000000000001</v>
      </c>
      <c r="M52" s="216"/>
      <c r="N52" s="162">
        <f>E52-травень!E52</f>
        <v>4</v>
      </c>
      <c r="O52" s="166">
        <f>F52-травень!F52</f>
        <v>0</v>
      </c>
      <c r="P52" s="165">
        <f t="shared" si="14"/>
        <v>-4</v>
      </c>
      <c r="Q52" s="163">
        <f t="shared" si="11"/>
        <v>0</v>
      </c>
      <c r="R52" s="36">
        <v>4</v>
      </c>
      <c r="S52" s="36">
        <f t="shared" si="15"/>
        <v>-4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3645</v>
      </c>
      <c r="F53" s="154">
        <v>3267.35</v>
      </c>
      <c r="G53" s="160">
        <f t="shared" si="12"/>
        <v>-377.6500000000001</v>
      </c>
      <c r="H53" s="162">
        <f t="shared" si="10"/>
        <v>89.63923182441701</v>
      </c>
      <c r="I53" s="163">
        <f t="shared" si="13"/>
        <v>-4007.65</v>
      </c>
      <c r="J53" s="163">
        <f t="shared" si="16"/>
        <v>44.912027491408935</v>
      </c>
      <c r="K53" s="163">
        <v>3928.05</v>
      </c>
      <c r="L53" s="163">
        <f t="shared" si="1"/>
        <v>-660.7000000000003</v>
      </c>
      <c r="M53" s="216">
        <f t="shared" si="17"/>
        <v>0.8317994933873041</v>
      </c>
      <c r="N53" s="162">
        <f>E53-травень!E53</f>
        <v>605</v>
      </c>
      <c r="O53" s="166">
        <f>F53-травень!F53</f>
        <v>546.0299999999997</v>
      </c>
      <c r="P53" s="165">
        <f t="shared" si="14"/>
        <v>-58.970000000000255</v>
      </c>
      <c r="Q53" s="163">
        <f t="shared" si="11"/>
        <v>90.25289256198343</v>
      </c>
      <c r="R53" s="36">
        <v>550</v>
      </c>
      <c r="S53" s="36">
        <f t="shared" si="15"/>
        <v>-3.9700000000002547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570</v>
      </c>
      <c r="F54" s="154">
        <v>371.6</v>
      </c>
      <c r="G54" s="160">
        <f t="shared" si="12"/>
        <v>-198.39999999999998</v>
      </c>
      <c r="H54" s="162">
        <f t="shared" si="10"/>
        <v>65.19298245614036</v>
      </c>
      <c r="I54" s="163">
        <f t="shared" si="13"/>
        <v>-828.4</v>
      </c>
      <c r="J54" s="163">
        <f t="shared" si="16"/>
        <v>30.96666666666667</v>
      </c>
      <c r="K54" s="163">
        <v>3094.63</v>
      </c>
      <c r="L54" s="163">
        <f t="shared" si="1"/>
        <v>-2723.03</v>
      </c>
      <c r="M54" s="216">
        <f t="shared" si="17"/>
        <v>0.1200789755156513</v>
      </c>
      <c r="N54" s="162">
        <f>E54-травень!E54</f>
        <v>95</v>
      </c>
      <c r="O54" s="166">
        <f>F54-травень!F54</f>
        <v>38.08000000000004</v>
      </c>
      <c r="P54" s="165">
        <f t="shared" si="14"/>
        <v>-56.91999999999996</v>
      </c>
      <c r="Q54" s="163">
        <f t="shared" si="11"/>
        <v>40.084210526315836</v>
      </c>
      <c r="R54" s="36">
        <v>50</v>
      </c>
      <c r="S54" s="36">
        <f t="shared" si="15"/>
        <v>-11.919999999999959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480</v>
      </c>
      <c r="F55" s="138">
        <v>321.64</v>
      </c>
      <c r="G55" s="33">
        <f t="shared" si="12"/>
        <v>-158.36</v>
      </c>
      <c r="H55" s="29">
        <f t="shared" si="10"/>
        <v>67.00833333333333</v>
      </c>
      <c r="I55" s="103">
        <f t="shared" si="13"/>
        <v>-676.36</v>
      </c>
      <c r="J55" s="103">
        <f t="shared" si="16"/>
        <v>32.22845691382765</v>
      </c>
      <c r="K55" s="103">
        <v>420.67</v>
      </c>
      <c r="L55" s="103">
        <f>F55-K55</f>
        <v>-99.03000000000003</v>
      </c>
      <c r="M55" s="108">
        <f t="shared" si="17"/>
        <v>0.7645898209998335</v>
      </c>
      <c r="N55" s="104">
        <f>E55-травень!E55</f>
        <v>80</v>
      </c>
      <c r="O55" s="142">
        <f>F55-травень!F55</f>
        <v>31.25999999999999</v>
      </c>
      <c r="P55" s="105">
        <f t="shared" si="14"/>
        <v>-48.74000000000001</v>
      </c>
      <c r="Q55" s="118">
        <f t="shared" si="11"/>
        <v>39.07499999999999</v>
      </c>
      <c r="R55" s="36"/>
      <c r="S55" s="36">
        <f t="shared" si="15"/>
        <v>31.25999999999999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0.24</v>
      </c>
      <c r="L56" s="103">
        <f>F56-K56</f>
        <v>-0.09</v>
      </c>
      <c r="M56" s="108">
        <f t="shared" si="17"/>
        <v>0.625</v>
      </c>
      <c r="N56" s="104">
        <f>E56-травень!E56</f>
        <v>0</v>
      </c>
      <c r="O56" s="142">
        <f>F56-травень!F56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E57-травень!E57</f>
        <v>0</v>
      </c>
      <c r="O57" s="142">
        <f>F57-травень!F57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90</v>
      </c>
      <c r="F58" s="138">
        <v>49.81</v>
      </c>
      <c r="G58" s="33">
        <f t="shared" si="12"/>
        <v>-40.19</v>
      </c>
      <c r="H58" s="29">
        <f t="shared" si="10"/>
        <v>55.34444444444445</v>
      </c>
      <c r="I58" s="103">
        <f t="shared" si="13"/>
        <v>-150.19</v>
      </c>
      <c r="J58" s="103">
        <f t="shared" si="16"/>
        <v>24.905</v>
      </c>
      <c r="K58" s="103">
        <v>2673.71</v>
      </c>
      <c r="L58" s="103">
        <f>F58-K58</f>
        <v>-2623.9</v>
      </c>
      <c r="M58" s="108">
        <f t="shared" si="17"/>
        <v>0.01862954471502145</v>
      </c>
      <c r="N58" s="104">
        <f>E58-травень!E58</f>
        <v>15</v>
      </c>
      <c r="O58" s="142">
        <f>F58-травень!F58</f>
        <v>6.810000000000002</v>
      </c>
      <c r="P58" s="105">
        <f t="shared" si="14"/>
        <v>-8.189999999999998</v>
      </c>
      <c r="Q58" s="118">
        <f t="shared" si="11"/>
        <v>45.40000000000001</v>
      </c>
      <c r="R58" s="36"/>
      <c r="S58" s="36">
        <f t="shared" si="15"/>
        <v>6.810000000000002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E59-травень!E59</f>
        <v>0</v>
      </c>
      <c r="O59" s="166">
        <f>F59-травень!F59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4860</v>
      </c>
      <c r="F60" s="154">
        <v>4375.65</v>
      </c>
      <c r="G60" s="160">
        <f t="shared" si="12"/>
        <v>-484.35000000000036</v>
      </c>
      <c r="H60" s="162">
        <f t="shared" si="10"/>
        <v>90.03395061728395</v>
      </c>
      <c r="I60" s="163">
        <f t="shared" si="13"/>
        <v>-2974.3500000000004</v>
      </c>
      <c r="J60" s="163">
        <f t="shared" si="16"/>
        <v>59.53265306122448</v>
      </c>
      <c r="K60" s="163">
        <v>2709.14</v>
      </c>
      <c r="L60" s="163">
        <f aca="true" t="shared" si="18" ref="L60:L66">F60-K60</f>
        <v>1666.5099999999998</v>
      </c>
      <c r="M60" s="216">
        <f t="shared" si="17"/>
        <v>1.6151435510900138</v>
      </c>
      <c r="N60" s="162">
        <f>E60-травень!E60</f>
        <v>600</v>
      </c>
      <c r="O60" s="166">
        <f>F60-травень!F60</f>
        <v>338.50999999999976</v>
      </c>
      <c r="P60" s="165">
        <f t="shared" si="14"/>
        <v>-261.49000000000024</v>
      </c>
      <c r="Q60" s="163">
        <f t="shared" si="11"/>
        <v>56.418333333333294</v>
      </c>
      <c r="R60" s="36">
        <v>500</v>
      </c>
      <c r="S60" s="36">
        <f t="shared" si="15"/>
        <v>-161.49000000000024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1023.45</v>
      </c>
      <c r="G62" s="160"/>
      <c r="H62" s="162"/>
      <c r="I62" s="163"/>
      <c r="J62" s="163"/>
      <c r="K62" s="164">
        <v>592.26</v>
      </c>
      <c r="L62" s="163">
        <f t="shared" si="18"/>
        <v>431.19000000000005</v>
      </c>
      <c r="M62" s="216">
        <f t="shared" si="17"/>
        <v>1.7280417384256914</v>
      </c>
      <c r="N62" s="193"/>
      <c r="O62" s="177">
        <f>F62-травень!F62</f>
        <v>139.86</v>
      </c>
      <c r="P62" s="164"/>
      <c r="Q62" s="163"/>
      <c r="R62" s="36"/>
      <c r="S62" s="36">
        <f t="shared" si="15"/>
        <v>139.86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E64-травень!E64</f>
        <v>0</v>
      </c>
      <c r="O64" s="166">
        <f>F64-травень!F64</f>
        <v>0</v>
      </c>
      <c r="P64" s="165">
        <f t="shared" si="14"/>
        <v>0</v>
      </c>
      <c r="Q64" s="163"/>
      <c r="R64" s="36">
        <v>0</v>
      </c>
      <c r="S64" s="36">
        <f t="shared" si="15"/>
        <v>0</v>
      </c>
    </row>
    <row r="65" spans="1:19" s="6" customFormat="1" ht="18">
      <c r="A65" s="8"/>
      <c r="B65" s="12" t="s">
        <v>44</v>
      </c>
      <c r="C65" s="42">
        <v>31010200</v>
      </c>
      <c r="D65" s="148">
        <v>15</v>
      </c>
      <c r="E65" s="148">
        <v>7.6</v>
      </c>
      <c r="F65" s="154">
        <v>25.24</v>
      </c>
      <c r="G65" s="160">
        <f t="shared" si="12"/>
        <v>17.64</v>
      </c>
      <c r="H65" s="162">
        <f t="shared" si="10"/>
        <v>332.10526315789474</v>
      </c>
      <c r="I65" s="163">
        <f t="shared" si="13"/>
        <v>10.239999999999998</v>
      </c>
      <c r="J65" s="163">
        <f t="shared" si="16"/>
        <v>168.26666666666665</v>
      </c>
      <c r="K65" s="163">
        <v>13.52</v>
      </c>
      <c r="L65" s="163">
        <f t="shared" si="18"/>
        <v>11.719999999999999</v>
      </c>
      <c r="M65" s="216">
        <f t="shared" si="17"/>
        <v>1.8668639053254437</v>
      </c>
      <c r="N65" s="162">
        <f>E65-травень!E65</f>
        <v>1.1999999999999993</v>
      </c>
      <c r="O65" s="166">
        <f>F65-травень!F65</f>
        <v>2.889999999999997</v>
      </c>
      <c r="P65" s="165">
        <f t="shared" si="14"/>
        <v>1.6899999999999977</v>
      </c>
      <c r="Q65" s="163">
        <f t="shared" si="11"/>
        <v>240.83333333333323</v>
      </c>
      <c r="R65" s="36">
        <v>3.2</v>
      </c>
      <c r="S65" s="36">
        <f t="shared" si="15"/>
        <v>-0.31000000000000316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0.4</v>
      </c>
      <c r="L66" s="163">
        <f t="shared" si="18"/>
        <v>-5.65</v>
      </c>
      <c r="M66" s="216">
        <f t="shared" si="17"/>
        <v>-13.125</v>
      </c>
      <c r="N66" s="162">
        <f>E66-травень!E66</f>
        <v>0</v>
      </c>
      <c r="O66" s="166">
        <f>F66-травень!F66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638799.2999999999</v>
      </c>
      <c r="F67" s="149">
        <f>F8+F41+F65+F66</f>
        <v>591648.7699999999</v>
      </c>
      <c r="G67" s="149">
        <f>F67-E67</f>
        <v>-47150.53000000003</v>
      </c>
      <c r="H67" s="150">
        <f>F67/E67*100</f>
        <v>92.6188820181863</v>
      </c>
      <c r="I67" s="151">
        <f>F67-D67</f>
        <v>-765842.3300000002</v>
      </c>
      <c r="J67" s="151">
        <f>F67/D67*100</f>
        <v>43.58398887477051</v>
      </c>
      <c r="K67" s="151">
        <v>494785.99</v>
      </c>
      <c r="L67" s="151">
        <f>F67-K67</f>
        <v>96862.77999999991</v>
      </c>
      <c r="M67" s="217">
        <f>F67/K67</f>
        <v>1.1957670224251902</v>
      </c>
      <c r="N67" s="149">
        <f>N8+N41+N65+N66</f>
        <v>109292</v>
      </c>
      <c r="O67" s="149">
        <f>O8+O41+O65+O66</f>
        <v>59180.59999999996</v>
      </c>
      <c r="P67" s="153">
        <f>O67-N67</f>
        <v>-50111.40000000004</v>
      </c>
      <c r="Q67" s="151">
        <f>O67/N67*100</f>
        <v>54.14906855030557</v>
      </c>
      <c r="R67" s="26">
        <f>R8+R41+R65+R66</f>
        <v>108115.7</v>
      </c>
      <c r="S67" s="277">
        <f>O67-R67</f>
        <v>-48935.100000000035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E73-травень!E73</f>
        <v>0</v>
      </c>
      <c r="O73" s="180">
        <f>F73-травень!F73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E75-травень!E75</f>
        <v>0</v>
      </c>
      <c r="O75" s="286">
        <f>F75-травень!F75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9000</v>
      </c>
      <c r="F76" s="179">
        <v>3.63</v>
      </c>
      <c r="G76" s="160">
        <f t="shared" si="19"/>
        <v>-8996.37</v>
      </c>
      <c r="H76" s="162">
        <f>F76/E76*100</f>
        <v>0.04033333333333333</v>
      </c>
      <c r="I76" s="165">
        <f t="shared" si="20"/>
        <v>-104202.4</v>
      </c>
      <c r="J76" s="165">
        <f>F76/D76*100</f>
        <v>0.0034834836333367657</v>
      </c>
      <c r="K76" s="165">
        <v>1042.02</v>
      </c>
      <c r="L76" s="165">
        <f t="shared" si="21"/>
        <v>-1038.3899999999999</v>
      </c>
      <c r="M76" s="207">
        <f>F76/K76</f>
        <v>0.0034836183566534233</v>
      </c>
      <c r="N76" s="162">
        <f>E76-травень!E76</f>
        <v>4500</v>
      </c>
      <c r="O76" s="166">
        <f>F76-травень!F76</f>
        <v>3.5</v>
      </c>
      <c r="P76" s="165">
        <f t="shared" si="22"/>
        <v>-4496.5</v>
      </c>
      <c r="Q76" s="165">
        <f>O76/N76*100</f>
        <v>0.07777777777777778</v>
      </c>
      <c r="R76" s="37">
        <v>0</v>
      </c>
      <c r="S76" s="37">
        <f aca="true" t="shared" si="23" ref="S76:S87">O76-R76</f>
        <v>3.5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15630</v>
      </c>
      <c r="F77" s="179">
        <v>490.64</v>
      </c>
      <c r="G77" s="160">
        <f t="shared" si="19"/>
        <v>-15139.36</v>
      </c>
      <c r="H77" s="162">
        <f>F77/E77*100</f>
        <v>3.1390914907229686</v>
      </c>
      <c r="I77" s="165">
        <f t="shared" si="20"/>
        <v>-53509.36</v>
      </c>
      <c r="J77" s="165">
        <f>F77/D77*100</f>
        <v>0.9085925925925926</v>
      </c>
      <c r="K77" s="165">
        <v>936.04</v>
      </c>
      <c r="L77" s="165">
        <f t="shared" si="21"/>
        <v>-445.4</v>
      </c>
      <c r="M77" s="207">
        <f>F77/K77</f>
        <v>0.5241656339472672</v>
      </c>
      <c r="N77" s="162">
        <f>E77-травень!E77</f>
        <v>3600</v>
      </c>
      <c r="O77" s="166">
        <f>F77-травень!F77</f>
        <v>185.74</v>
      </c>
      <c r="P77" s="165">
        <f t="shared" si="22"/>
        <v>-3414.26</v>
      </c>
      <c r="Q77" s="165">
        <f>O77/N77*100</f>
        <v>5.159444444444445</v>
      </c>
      <c r="R77" s="37">
        <v>200</v>
      </c>
      <c r="S77" s="37">
        <f t="shared" si="23"/>
        <v>-14.259999999999991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16200</v>
      </c>
      <c r="F78" s="179">
        <v>5800.86</v>
      </c>
      <c r="G78" s="160">
        <f t="shared" si="19"/>
        <v>-10399.14</v>
      </c>
      <c r="H78" s="162">
        <f>F78/E78*100</f>
        <v>35.80777777777778</v>
      </c>
      <c r="I78" s="165">
        <f t="shared" si="20"/>
        <v>-73199.14</v>
      </c>
      <c r="J78" s="165">
        <f>F78/D78*100</f>
        <v>7.342860759493671</v>
      </c>
      <c r="K78" s="165">
        <v>9374.51</v>
      </c>
      <c r="L78" s="165">
        <f t="shared" si="21"/>
        <v>-3573.6500000000005</v>
      </c>
      <c r="M78" s="207">
        <f>F78/K78</f>
        <v>0.6187907421294553</v>
      </c>
      <c r="N78" s="162">
        <f>E78-травень!E78</f>
        <v>3850</v>
      </c>
      <c r="O78" s="166">
        <f>F78-травень!F78</f>
        <v>1215.4399999999996</v>
      </c>
      <c r="P78" s="165">
        <f t="shared" si="22"/>
        <v>-2634.5600000000004</v>
      </c>
      <c r="Q78" s="165">
        <f>O78/N78*100</f>
        <v>31.56987012987012</v>
      </c>
      <c r="R78" s="37">
        <v>1500</v>
      </c>
      <c r="S78" s="37">
        <f t="shared" si="23"/>
        <v>-284.5600000000004</v>
      </c>
    </row>
    <row r="79" spans="2:19" ht="18">
      <c r="B79" s="23" t="s">
        <v>101</v>
      </c>
      <c r="C79" s="72">
        <v>24110700</v>
      </c>
      <c r="D79" s="178">
        <v>12</v>
      </c>
      <c r="E79" s="178">
        <v>6</v>
      </c>
      <c r="F79" s="179">
        <v>7</v>
      </c>
      <c r="G79" s="160">
        <f t="shared" si="19"/>
        <v>1</v>
      </c>
      <c r="H79" s="162">
        <f>F79/E79*100</f>
        <v>116.66666666666667</v>
      </c>
      <c r="I79" s="165">
        <f t="shared" si="20"/>
        <v>-5</v>
      </c>
      <c r="J79" s="165">
        <f>F79/D79*100</f>
        <v>58.333333333333336</v>
      </c>
      <c r="K79" s="165">
        <v>6</v>
      </c>
      <c r="L79" s="165">
        <f t="shared" si="21"/>
        <v>1</v>
      </c>
      <c r="M79" s="207"/>
      <c r="N79" s="162">
        <f>E79-травень!E79</f>
        <v>1</v>
      </c>
      <c r="O79" s="166">
        <f>F79-травень!F79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40836</v>
      </c>
      <c r="F80" s="182">
        <f>F76+F77+F78+F79</f>
        <v>6302.129999999999</v>
      </c>
      <c r="G80" s="183">
        <f t="shared" si="19"/>
        <v>-34533.87</v>
      </c>
      <c r="H80" s="184">
        <f>F80/E80*100</f>
        <v>15.432779900088157</v>
      </c>
      <c r="I80" s="185">
        <f t="shared" si="20"/>
        <v>-230915.9</v>
      </c>
      <c r="J80" s="185">
        <f>F80/D80*100</f>
        <v>2.656682546432073</v>
      </c>
      <c r="K80" s="185">
        <v>11358.57</v>
      </c>
      <c r="L80" s="185">
        <f t="shared" si="21"/>
        <v>-5056.4400000000005</v>
      </c>
      <c r="M80" s="212">
        <f>F80/K80</f>
        <v>0.5548348075505983</v>
      </c>
      <c r="N80" s="183">
        <f>N76+N77+N78+N79</f>
        <v>11951</v>
      </c>
      <c r="O80" s="187">
        <f>O76+O77+O78+O79</f>
        <v>1405.6799999999996</v>
      </c>
      <c r="P80" s="185">
        <f t="shared" si="22"/>
        <v>-10545.32</v>
      </c>
      <c r="Q80" s="185">
        <f>O80/N80*100</f>
        <v>11.762028282152118</v>
      </c>
      <c r="R80" s="38">
        <f>SUM(R76:R79)</f>
        <v>1701</v>
      </c>
      <c r="S80" s="38">
        <f t="shared" si="23"/>
        <v>-295.3200000000004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35.31</v>
      </c>
      <c r="G81" s="160">
        <f t="shared" si="19"/>
        <v>31.310000000000002</v>
      </c>
      <c r="H81" s="162"/>
      <c r="I81" s="165">
        <f t="shared" si="20"/>
        <v>-4.689999999999998</v>
      </c>
      <c r="J81" s="165"/>
      <c r="K81" s="165">
        <v>5.19</v>
      </c>
      <c r="L81" s="165">
        <f t="shared" si="21"/>
        <v>30.12</v>
      </c>
      <c r="M81" s="207">
        <f>F81/K81</f>
        <v>6.803468208092485</v>
      </c>
      <c r="N81" s="162">
        <f>E81-травень!E81</f>
        <v>0.5</v>
      </c>
      <c r="O81" s="166">
        <f>F81-травень!F81</f>
        <v>1.2100000000000009</v>
      </c>
      <c r="P81" s="165">
        <f t="shared" si="22"/>
        <v>0.7100000000000009</v>
      </c>
      <c r="Q81" s="165"/>
      <c r="R81" s="37">
        <v>1</v>
      </c>
      <c r="S81" s="37">
        <f t="shared" si="23"/>
        <v>0.21000000000000085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E82-травень!E82</f>
        <v>0</v>
      </c>
      <c r="O82" s="166">
        <f>F82-травень!F82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4507</v>
      </c>
      <c r="F83" s="179">
        <v>5103.41</v>
      </c>
      <c r="G83" s="160">
        <f t="shared" si="19"/>
        <v>596.4099999999999</v>
      </c>
      <c r="H83" s="162">
        <f>F83/E83*100</f>
        <v>113.2329709341025</v>
      </c>
      <c r="I83" s="165">
        <f t="shared" si="20"/>
        <v>-3256.59</v>
      </c>
      <c r="J83" s="165">
        <f>F83/D83*100</f>
        <v>61.04557416267943</v>
      </c>
      <c r="K83" s="165">
        <v>4890.44</v>
      </c>
      <c r="L83" s="165">
        <f t="shared" si="21"/>
        <v>212.97000000000025</v>
      </c>
      <c r="M83" s="207"/>
      <c r="N83" s="162">
        <f>E83-травень!E83</f>
        <v>0.5</v>
      </c>
      <c r="O83" s="166">
        <f>F83-травень!F83</f>
        <v>0.18999999999959982</v>
      </c>
      <c r="P83" s="165">
        <f>O83-N83</f>
        <v>-0.3100000000004002</v>
      </c>
      <c r="Q83" s="188">
        <f>O83/N83*100</f>
        <v>37.999999999919964</v>
      </c>
      <c r="R83" s="40">
        <v>2850</v>
      </c>
      <c r="S83" s="285">
        <f t="shared" si="23"/>
        <v>-2849.8100000000004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0.81</v>
      </c>
      <c r="L84" s="165">
        <f t="shared" si="21"/>
        <v>-0.76</v>
      </c>
      <c r="M84" s="207">
        <f aca="true" t="shared" si="24" ref="M84:M89">F84/K84</f>
        <v>0.06172839506172839</v>
      </c>
      <c r="N84" s="162">
        <f>E84-травень!E84</f>
        <v>0</v>
      </c>
      <c r="O84" s="166">
        <f>F84-травень!F84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4511</v>
      </c>
      <c r="F85" s="182">
        <f>F81+F84+F82+F83</f>
        <v>5138.7699999999995</v>
      </c>
      <c r="G85" s="181">
        <f>G81+G84+G82+G83</f>
        <v>627.7699999999999</v>
      </c>
      <c r="H85" s="184">
        <f>F85/E85*100</f>
        <v>113.9164265129683</v>
      </c>
      <c r="I85" s="185">
        <f t="shared" si="20"/>
        <v>-3261.2300000000005</v>
      </c>
      <c r="J85" s="185">
        <f>F85/D85*100</f>
        <v>61.17583333333333</v>
      </c>
      <c r="K85" s="185">
        <v>4896.43</v>
      </c>
      <c r="L85" s="185">
        <f t="shared" si="21"/>
        <v>242.33999999999924</v>
      </c>
      <c r="M85" s="218">
        <f t="shared" si="24"/>
        <v>1.049493202190167</v>
      </c>
      <c r="N85" s="183">
        <f>N81+N84+N82+N83</f>
        <v>1</v>
      </c>
      <c r="O85" s="187">
        <f>O81+O84+O82+O83</f>
        <v>1.3999999999996007</v>
      </c>
      <c r="P85" s="183">
        <f>P81+P84+P82+P83</f>
        <v>0.3999999999996007</v>
      </c>
      <c r="Q85" s="185">
        <f>O85/N85*100</f>
        <v>139.99999999996007</v>
      </c>
      <c r="R85" s="38">
        <f>SUM(R81:R84)</f>
        <v>2851</v>
      </c>
      <c r="S85" s="38">
        <f t="shared" si="23"/>
        <v>-2849.6000000000004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23.3</v>
      </c>
      <c r="F86" s="179">
        <v>7.74</v>
      </c>
      <c r="G86" s="160">
        <f t="shared" si="19"/>
        <v>-15.56</v>
      </c>
      <c r="H86" s="162">
        <f>F86/E86*100</f>
        <v>33.21888412017167</v>
      </c>
      <c r="I86" s="165">
        <f t="shared" si="20"/>
        <v>-30.259999999999998</v>
      </c>
      <c r="J86" s="165">
        <f>F86/D86*100</f>
        <v>20.36842105263158</v>
      </c>
      <c r="K86" s="165">
        <v>18.25</v>
      </c>
      <c r="L86" s="165">
        <f t="shared" si="21"/>
        <v>-10.51</v>
      </c>
      <c r="M86" s="207">
        <f t="shared" si="24"/>
        <v>0.4241095890410959</v>
      </c>
      <c r="N86" s="162">
        <f>E86-травень!E86</f>
        <v>8</v>
      </c>
      <c r="O86" s="166">
        <f>F86-травень!F86</f>
        <v>0</v>
      </c>
      <c r="P86" s="165">
        <f t="shared" si="22"/>
        <v>-8</v>
      </c>
      <c r="Q86" s="165">
        <f>O86/N86</f>
        <v>0</v>
      </c>
      <c r="R86" s="37">
        <v>1.2</v>
      </c>
      <c r="S86" s="37">
        <f t="shared" si="23"/>
        <v>-1.2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45370.3</v>
      </c>
      <c r="F88" s="189">
        <f>F74+F75+F80+F85+F86</f>
        <v>11481.579999999998</v>
      </c>
      <c r="G88" s="190">
        <f>F88-E88</f>
        <v>-33888.72</v>
      </c>
      <c r="H88" s="191">
        <f>F88/E88*100</f>
        <v>25.306378842546774</v>
      </c>
      <c r="I88" s="192">
        <f>F88-D88</f>
        <v>-234174.45</v>
      </c>
      <c r="J88" s="192">
        <f>F88/D88*100</f>
        <v>4.673844155179093</v>
      </c>
      <c r="K88" s="192">
        <v>16270.96</v>
      </c>
      <c r="L88" s="192">
        <f>F88-K88</f>
        <v>-4789.380000000001</v>
      </c>
      <c r="M88" s="219">
        <f t="shared" si="24"/>
        <v>0.7056485911095596</v>
      </c>
      <c r="N88" s="189">
        <f>N74+N75+N80+N85+N86</f>
        <v>11960</v>
      </c>
      <c r="O88" s="189">
        <f>O74+O75+O80+O85+O86</f>
        <v>1407.0799999999992</v>
      </c>
      <c r="P88" s="192">
        <f t="shared" si="22"/>
        <v>-10552.92</v>
      </c>
      <c r="Q88" s="192">
        <f>O88/N88*100</f>
        <v>11.764882943143807</v>
      </c>
      <c r="R88" s="26">
        <f>R80+R85+R86+R87</f>
        <v>4553.2</v>
      </c>
      <c r="S88" s="26">
        <f>S80+S85+S86+S87</f>
        <v>-3146.120000000001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684169.6</v>
      </c>
      <c r="F89" s="189">
        <f>F67+F88</f>
        <v>603130.3499999999</v>
      </c>
      <c r="G89" s="190">
        <f>F89-E89</f>
        <v>-81039.25000000012</v>
      </c>
      <c r="H89" s="191">
        <f>F89/E89*100</f>
        <v>88.15509341543381</v>
      </c>
      <c r="I89" s="192">
        <f>F89-D89</f>
        <v>-1000016.7800000003</v>
      </c>
      <c r="J89" s="192">
        <f>F89/D89*100</f>
        <v>37.621646741805904</v>
      </c>
      <c r="K89" s="192">
        <f>K67+K88</f>
        <v>511056.95</v>
      </c>
      <c r="L89" s="192">
        <f>F89-K89</f>
        <v>92073.39999999985</v>
      </c>
      <c r="M89" s="219">
        <f t="shared" si="24"/>
        <v>1.1801627000669883</v>
      </c>
      <c r="N89" s="190">
        <f>N67+N88</f>
        <v>121252</v>
      </c>
      <c r="O89" s="190">
        <f>O67+O88</f>
        <v>60587.679999999964</v>
      </c>
      <c r="P89" s="192">
        <f t="shared" si="22"/>
        <v>-60664.320000000036</v>
      </c>
      <c r="Q89" s="192">
        <f>O89/N89*100</f>
        <v>49.96839639758516</v>
      </c>
      <c r="R89" s="26">
        <f>R67+R88</f>
        <v>112668.9</v>
      </c>
      <c r="S89" s="26">
        <f>S67+S88</f>
        <v>-52081.22000000004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9</v>
      </c>
      <c r="D91" s="4" t="s">
        <v>35</v>
      </c>
      <c r="O91" s="77"/>
      <c r="S91" s="28"/>
    </row>
    <row r="92" spans="2:19" ht="30.75">
      <c r="B92" s="51" t="s">
        <v>53</v>
      </c>
      <c r="C92" s="28">
        <f>IF(P67&lt;0,ABS(P67/C91),0)</f>
        <v>5567.933333333338</v>
      </c>
      <c r="D92" s="4" t="s">
        <v>24</v>
      </c>
      <c r="G92" s="315"/>
      <c r="H92" s="315"/>
      <c r="I92" s="315"/>
      <c r="J92" s="315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42905</v>
      </c>
      <c r="D93" s="28">
        <v>4052.7</v>
      </c>
      <c r="G93" s="4" t="s">
        <v>58</v>
      </c>
      <c r="O93" s="300"/>
      <c r="P93" s="300"/>
    </row>
    <row r="94" spans="3:16" ht="15">
      <c r="C94" s="80">
        <v>42902</v>
      </c>
      <c r="D94" s="28">
        <v>3997.9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42901</v>
      </c>
      <c r="D95" s="28">
        <v>9728.7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1622.5111399999998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621</v>
      </c>
      <c r="F100" s="201">
        <f>F48+F51+F52</f>
        <v>839.85</v>
      </c>
      <c r="G100" s="67">
        <f>G48+G51+G52</f>
        <v>218.85000000000002</v>
      </c>
      <c r="H100" s="68"/>
      <c r="I100" s="68"/>
      <c r="N100" s="28">
        <f>N48+N51+N52</f>
        <v>89</v>
      </c>
      <c r="O100" s="200">
        <f>O48+O51+O52</f>
        <v>106.05000000000004</v>
      </c>
      <c r="P100" s="28">
        <f>P48+P51+P52</f>
        <v>17.05000000000004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609145.7</v>
      </c>
      <c r="F102" s="227">
        <f>F9+F15+F18+F19+F23+F42+F45+F65+F59</f>
        <v>561257.68</v>
      </c>
      <c r="G102" s="28">
        <f>F102-E102</f>
        <v>-47888.0199999999</v>
      </c>
      <c r="H102" s="228">
        <f>F102/E102</f>
        <v>0.9213849494464134</v>
      </c>
      <c r="I102" s="28">
        <f>F102-D102</f>
        <v>-737790.92</v>
      </c>
      <c r="J102" s="228">
        <f>F102/D102</f>
        <v>0.4320528731565547</v>
      </c>
      <c r="N102" s="28">
        <f>N9+N15+N17+N18+N19+N23+N42+N45+N65+N59</f>
        <v>104173.2</v>
      </c>
      <c r="O102" s="227">
        <f>O9+O15+O17+O18+O19+O23+O42+O45+O65+O59</f>
        <v>53931.01999999996</v>
      </c>
      <c r="P102" s="28">
        <f>O102-N102</f>
        <v>-50242.18000000004</v>
      </c>
      <c r="Q102" s="228">
        <f>O102/N102</f>
        <v>0.5177053215222338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29653.6</v>
      </c>
      <c r="F103" s="227">
        <f>F43+F44+F46+F48+F50+F51+F52+F53+F54+F60+F64+F47+F66</f>
        <v>30390.249999999996</v>
      </c>
      <c r="G103" s="28">
        <f>G43+G44+G46+G48+G50+G51+G52+G53+G54+G60+G64+G47</f>
        <v>741.899999999999</v>
      </c>
      <c r="H103" s="228">
        <f>F103/E103</f>
        <v>1.024841840451075</v>
      </c>
      <c r="I103" s="28">
        <f>I43+I44+I46+I48+I50+I51+I52+I53+I54+I60+I64+I47</f>
        <v>-28047.000000000004</v>
      </c>
      <c r="J103" s="228">
        <f>F103/D103</f>
        <v>0.5200025666253154</v>
      </c>
      <c r="K103" s="28">
        <f aca="true" t="shared" si="25" ref="K103:P103">K43+K44+K46+K48+K50+K51+K52+K53+K54+K60+K64+K47</f>
        <v>29017.919999999995</v>
      </c>
      <c r="L103" s="28">
        <f t="shared" si="25"/>
        <v>1377.5799999999995</v>
      </c>
      <c r="M103" s="28">
        <f t="shared" si="25"/>
        <v>16.478388008095752</v>
      </c>
      <c r="N103" s="28">
        <f>N43+N44+N46+N48+N50+N51+N52+N53+N54+N60+N64+N47+N66</f>
        <v>5118.8</v>
      </c>
      <c r="O103" s="227">
        <f>O43+O44+O46+O48+O50+O51+O52+O53+O54+O60+O64+O47+O66</f>
        <v>5249.58</v>
      </c>
      <c r="P103" s="28">
        <f t="shared" si="25"/>
        <v>130.77999999999878</v>
      </c>
      <c r="Q103" s="228">
        <f>O103/N103</f>
        <v>1.0255489567867468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638799.2999999999</v>
      </c>
      <c r="F104" s="227">
        <f t="shared" si="26"/>
        <v>591647.93</v>
      </c>
      <c r="G104" s="28">
        <f t="shared" si="26"/>
        <v>-47146.1199999999</v>
      </c>
      <c r="H104" s="228">
        <f>F104/E104</f>
        <v>0.9261875052148619</v>
      </c>
      <c r="I104" s="28">
        <f t="shared" si="26"/>
        <v>-765837.92</v>
      </c>
      <c r="J104" s="228">
        <f>F104/D104</f>
        <v>0.435839269959118</v>
      </c>
      <c r="K104" s="28">
        <f t="shared" si="26"/>
        <v>29017.919999999995</v>
      </c>
      <c r="L104" s="28">
        <f t="shared" si="26"/>
        <v>1377.5799999999995</v>
      </c>
      <c r="M104" s="28">
        <f t="shared" si="26"/>
        <v>16.478388008095752</v>
      </c>
      <c r="N104" s="28">
        <f t="shared" si="26"/>
        <v>109292</v>
      </c>
      <c r="O104" s="227">
        <f t="shared" si="26"/>
        <v>59180.59999999996</v>
      </c>
      <c r="P104" s="28">
        <f t="shared" si="26"/>
        <v>-50111.40000000004</v>
      </c>
      <c r="Q104" s="228">
        <f>O104/N104</f>
        <v>0.5414906855030557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0.8399999998509884</v>
      </c>
      <c r="G105" s="28">
        <f t="shared" si="27"/>
        <v>-4.410000000127184</v>
      </c>
      <c r="H105" s="228"/>
      <c r="I105" s="28">
        <f t="shared" si="27"/>
        <v>-4.410000000149012</v>
      </c>
      <c r="J105" s="228"/>
      <c r="K105" s="28">
        <f t="shared" si="27"/>
        <v>465768.07</v>
      </c>
      <c r="L105" s="28">
        <f t="shared" si="27"/>
        <v>95485.19999999991</v>
      </c>
      <c r="M105" s="28">
        <f t="shared" si="27"/>
        <v>-15.282620985670562</v>
      </c>
      <c r="N105" s="28">
        <f t="shared" si="27"/>
        <v>0</v>
      </c>
      <c r="O105" s="28">
        <f t="shared" si="27"/>
        <v>0</v>
      </c>
      <c r="P105" s="28">
        <f t="shared" si="27"/>
        <v>0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64603.59999999993</v>
      </c>
    </row>
    <row r="108" spans="2:5" ht="15" hidden="1">
      <c r="B108" s="242" t="s">
        <v>153</v>
      </c>
      <c r="E108" s="28">
        <f>E88-E83-E76-E77</f>
        <v>16233.300000000003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63472.36</v>
      </c>
      <c r="F111" s="189">
        <f>F88+F110</f>
        <v>31735.899999999998</v>
      </c>
      <c r="G111" s="190">
        <f>F111-E111</f>
        <v>-31736.460000000003</v>
      </c>
      <c r="H111" s="191">
        <f>F111/E111*100</f>
        <v>49.99955886310198</v>
      </c>
      <c r="I111" s="192">
        <f>F111-D111</f>
        <v>-286328.35</v>
      </c>
      <c r="J111" s="192">
        <f>F111/D111*100</f>
        <v>9.977826807005187</v>
      </c>
      <c r="K111" s="192">
        <v>3039.87</v>
      </c>
      <c r="L111" s="192">
        <f>F111-K111</f>
        <v>28696.03</v>
      </c>
      <c r="M111" s="266">
        <f>F111/K111</f>
        <v>10.43988723201979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702271.6599999999</v>
      </c>
      <c r="F112" s="189">
        <f>F111+F67</f>
        <v>623384.6699999999</v>
      </c>
      <c r="G112" s="190">
        <f>F112-E112</f>
        <v>-78886.98999999999</v>
      </c>
      <c r="H112" s="191">
        <f>F112/E112*100</f>
        <v>88.7668840288956</v>
      </c>
      <c r="I112" s="192">
        <f>F112-D112</f>
        <v>-1052170.6800000002</v>
      </c>
      <c r="J112" s="192">
        <f>F112/D112*100</f>
        <v>37.204659935584935</v>
      </c>
      <c r="K112" s="192">
        <f>K89+K111</f>
        <v>514096.82</v>
      </c>
      <c r="L112" s="192">
        <f>F112-K112</f>
        <v>109287.84999999992</v>
      </c>
      <c r="M112" s="266">
        <f>F112/K112</f>
        <v>1.2125822330509648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1252927.2599999998</v>
      </c>
      <c r="F124" s="274">
        <f>F112+F113</f>
        <v>1169213.75</v>
      </c>
      <c r="G124" s="275">
        <f t="shared" si="29"/>
        <v>-83713.50999999978</v>
      </c>
      <c r="H124" s="274">
        <f t="shared" si="31"/>
        <v>93.3185658359768</v>
      </c>
      <c r="I124" s="276">
        <f t="shared" si="30"/>
        <v>-1729210.29</v>
      </c>
      <c r="J124" s="276">
        <f t="shared" si="32"/>
        <v>40.339637467263074</v>
      </c>
      <c r="Q124" s="240"/>
    </row>
    <row r="125" ht="15" hidden="1"/>
    <row r="126" ht="15" hidden="1"/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1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20" t="s">
        <v>194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5"/>
      <c r="S1" s="85"/>
      <c r="T1" s="85"/>
      <c r="U1" s="86"/>
    </row>
    <row r="2" spans="2:21" s="1" customFormat="1" ht="15.75" customHeight="1">
      <c r="B2" s="321"/>
      <c r="C2" s="321"/>
      <c r="D2" s="321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22"/>
      <c r="B3" s="324"/>
      <c r="C3" s="325" t="s">
        <v>0</v>
      </c>
      <c r="D3" s="326" t="s">
        <v>137</v>
      </c>
      <c r="E3" s="31"/>
      <c r="F3" s="327" t="s">
        <v>26</v>
      </c>
      <c r="G3" s="328"/>
      <c r="H3" s="328"/>
      <c r="I3" s="328"/>
      <c r="J3" s="329"/>
      <c r="K3" s="82"/>
      <c r="L3" s="82"/>
      <c r="M3" s="82"/>
      <c r="N3" s="330" t="s">
        <v>188</v>
      </c>
      <c r="O3" s="308" t="s">
        <v>189</v>
      </c>
      <c r="P3" s="308"/>
      <c r="Q3" s="308"/>
      <c r="R3" s="308"/>
      <c r="S3" s="308"/>
      <c r="T3" s="308"/>
      <c r="U3" s="308"/>
    </row>
    <row r="4" spans="1:21" ht="22.5" customHeight="1">
      <c r="A4" s="322"/>
      <c r="B4" s="324"/>
      <c r="C4" s="325"/>
      <c r="D4" s="326"/>
      <c r="E4" s="316" t="s">
        <v>185</v>
      </c>
      <c r="F4" s="302" t="s">
        <v>33</v>
      </c>
      <c r="G4" s="304" t="s">
        <v>186</v>
      </c>
      <c r="H4" s="306" t="s">
        <v>187</v>
      </c>
      <c r="I4" s="304" t="s">
        <v>125</v>
      </c>
      <c r="J4" s="306" t="s">
        <v>126</v>
      </c>
      <c r="K4" s="84" t="s">
        <v>128</v>
      </c>
      <c r="L4" s="202" t="s">
        <v>111</v>
      </c>
      <c r="M4" s="89" t="s">
        <v>63</v>
      </c>
      <c r="N4" s="306"/>
      <c r="O4" s="318" t="s">
        <v>195</v>
      </c>
      <c r="P4" s="304" t="s">
        <v>49</v>
      </c>
      <c r="Q4" s="30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23"/>
      <c r="B5" s="324"/>
      <c r="C5" s="325"/>
      <c r="D5" s="326"/>
      <c r="E5" s="317"/>
      <c r="F5" s="303"/>
      <c r="G5" s="305"/>
      <c r="H5" s="307"/>
      <c r="I5" s="305"/>
      <c r="J5" s="307"/>
      <c r="K5" s="310" t="s">
        <v>191</v>
      </c>
      <c r="L5" s="311"/>
      <c r="M5" s="312"/>
      <c r="N5" s="307"/>
      <c r="O5" s="319"/>
      <c r="P5" s="305"/>
      <c r="Q5" s="309"/>
      <c r="R5" s="313" t="s">
        <v>190</v>
      </c>
      <c r="S5" s="314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505095.9600000001</v>
      </c>
      <c r="G8" s="149">
        <f aca="true" t="shared" si="0" ref="G8:G40">F8-E8</f>
        <v>392.36000000010245</v>
      </c>
      <c r="H8" s="150">
        <f>F8/E8*100</f>
        <v>100.07774067789492</v>
      </c>
      <c r="I8" s="151">
        <f>F8-D8</f>
        <v>-793355.14</v>
      </c>
      <c r="J8" s="151">
        <f>F8/D8*100</f>
        <v>38.89988309917871</v>
      </c>
      <c r="K8" s="149">
        <v>374994.96</v>
      </c>
      <c r="L8" s="149">
        <f aca="true" t="shared" si="1" ref="L8:L54">F8-K8</f>
        <v>130101.00000000006</v>
      </c>
      <c r="M8" s="203">
        <f aca="true" t="shared" si="2" ref="M8:M31">F8/K8</f>
        <v>1.3469406628825094</v>
      </c>
      <c r="N8" s="149">
        <f>N9+N15+N18+N19+N23+N17</f>
        <v>106726.09999999998</v>
      </c>
      <c r="O8" s="149">
        <f>O9+O15+O18+O19+O23+O17</f>
        <v>104783.70400000001</v>
      </c>
      <c r="P8" s="149">
        <f>O8-N8</f>
        <v>-1942.3959999999643</v>
      </c>
      <c r="Q8" s="149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281631.58</v>
      </c>
      <c r="G9" s="148">
        <f t="shared" si="0"/>
        <v>2791.5800000000163</v>
      </c>
      <c r="H9" s="155">
        <f>F9/E9*100</f>
        <v>101.00114043896143</v>
      </c>
      <c r="I9" s="156">
        <f>F9-D9</f>
        <v>-485013.42</v>
      </c>
      <c r="J9" s="156">
        <f>F9/D9*100</f>
        <v>36.73559209282002</v>
      </c>
      <c r="K9" s="225">
        <v>199100.92</v>
      </c>
      <c r="L9" s="157">
        <f t="shared" si="1"/>
        <v>82530.66</v>
      </c>
      <c r="M9" s="204">
        <f t="shared" si="2"/>
        <v>1.4145167184561478</v>
      </c>
      <c r="N9" s="155">
        <f>E9-квітень!E9</f>
        <v>57980</v>
      </c>
      <c r="O9" s="158">
        <f>F9-квітень!F9</f>
        <v>58535.478</v>
      </c>
      <c r="P9" s="159">
        <f>O9-N9</f>
        <v>555.4780000000028</v>
      </c>
      <c r="Q9" s="156">
        <f>O9/N9*100</f>
        <v>100.95805105208693</v>
      </c>
      <c r="R9" s="288">
        <v>57980</v>
      </c>
      <c r="S9" s="288">
        <f>O9-R9</f>
        <v>555.4780000000028</v>
      </c>
      <c r="T9" s="99">
        <f>березень!F9+квітень!R9</f>
        <v>223567.36</v>
      </c>
      <c r="U9" s="99">
        <f>F9-T9</f>
        <v>58064.22000000003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257579.18</v>
      </c>
      <c r="G10" s="102">
        <f t="shared" si="0"/>
        <v>4419.179999999993</v>
      </c>
      <c r="H10" s="29">
        <f aca="true" t="shared" si="3" ref="H10:H39">F10/E10*100</f>
        <v>101.74560752093538</v>
      </c>
      <c r="I10" s="103">
        <f aca="true" t="shared" si="4" ref="I10:I40">F10-D10</f>
        <v>-443737.82</v>
      </c>
      <c r="J10" s="103">
        <f aca="true" t="shared" si="5" ref="J10:J39">F10/D10*100</f>
        <v>36.72792474729687</v>
      </c>
      <c r="K10" s="105">
        <v>174168.33</v>
      </c>
      <c r="L10" s="105">
        <f t="shared" si="1"/>
        <v>83410.85</v>
      </c>
      <c r="M10" s="205">
        <f t="shared" si="2"/>
        <v>1.4789093975925474</v>
      </c>
      <c r="N10" s="104">
        <f>E10-квітень!E10</f>
        <v>53024</v>
      </c>
      <c r="O10" s="142">
        <f>F10-квітень!F10</f>
        <v>53213.32000000001</v>
      </c>
      <c r="P10" s="105">
        <f aca="true" t="shared" si="6" ref="P10:P40">O10-N10</f>
        <v>189.32000000000698</v>
      </c>
      <c r="Q10" s="103">
        <f aca="true" t="shared" si="7" ref="Q10:Q27">O10/N10*100</f>
        <v>100.35704586602294</v>
      </c>
      <c r="R10" s="36"/>
      <c r="S10" s="99">
        <f aca="true" t="shared" si="8" ref="S10:S35">O10-R10</f>
        <v>53213.32000000001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15819.9</v>
      </c>
      <c r="G11" s="102">
        <f t="shared" si="0"/>
        <v>-2540.1000000000004</v>
      </c>
      <c r="H11" s="29">
        <f t="shared" si="3"/>
        <v>86.16503267973856</v>
      </c>
      <c r="I11" s="103">
        <f t="shared" si="4"/>
        <v>-30686.1</v>
      </c>
      <c r="J11" s="103">
        <f t="shared" si="5"/>
        <v>34.01690104502645</v>
      </c>
      <c r="K11" s="105">
        <v>14679.25</v>
      </c>
      <c r="L11" s="105">
        <f t="shared" si="1"/>
        <v>1140.6499999999996</v>
      </c>
      <c r="M11" s="205">
        <f t="shared" si="2"/>
        <v>1.0777049236166698</v>
      </c>
      <c r="N11" s="104">
        <f>E11-квітень!E11</f>
        <v>3660</v>
      </c>
      <c r="O11" s="142">
        <f>F11-квітень!F11</f>
        <v>3390.75</v>
      </c>
      <c r="P11" s="105">
        <f t="shared" si="6"/>
        <v>-269.25</v>
      </c>
      <c r="Q11" s="103">
        <f t="shared" si="7"/>
        <v>92.64344262295083</v>
      </c>
      <c r="R11" s="36"/>
      <c r="S11" s="99">
        <f t="shared" si="8"/>
        <v>3390.75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3742.26</v>
      </c>
      <c r="G12" s="102">
        <f t="shared" si="0"/>
        <v>802.2600000000002</v>
      </c>
      <c r="H12" s="29">
        <f t="shared" si="3"/>
        <v>127.28775510204082</v>
      </c>
      <c r="I12" s="103">
        <f t="shared" si="4"/>
        <v>-4537.74</v>
      </c>
      <c r="J12" s="103">
        <f t="shared" si="5"/>
        <v>45.196376811594206</v>
      </c>
      <c r="K12" s="105">
        <v>4583.23</v>
      </c>
      <c r="L12" s="105">
        <f t="shared" si="1"/>
        <v>-840.9699999999993</v>
      </c>
      <c r="M12" s="205">
        <f t="shared" si="2"/>
        <v>0.8165114995319895</v>
      </c>
      <c r="N12" s="104">
        <f>E12-квітень!E12</f>
        <v>600</v>
      </c>
      <c r="O12" s="142">
        <f>F12-квітень!F12</f>
        <v>1132.67</v>
      </c>
      <c r="P12" s="105">
        <f t="shared" si="6"/>
        <v>532.6700000000001</v>
      </c>
      <c r="Q12" s="103">
        <f t="shared" si="7"/>
        <v>188.77833333333334</v>
      </c>
      <c r="R12" s="36"/>
      <c r="S12" s="99">
        <f t="shared" si="8"/>
        <v>1132.67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3882.59</v>
      </c>
      <c r="G13" s="102">
        <f t="shared" si="0"/>
        <v>-17.409999999999854</v>
      </c>
      <c r="H13" s="29">
        <f t="shared" si="3"/>
        <v>99.55358974358974</v>
      </c>
      <c r="I13" s="103">
        <f t="shared" si="4"/>
        <v>-5507.41</v>
      </c>
      <c r="J13" s="103">
        <f t="shared" si="5"/>
        <v>41.34813631522897</v>
      </c>
      <c r="K13" s="105">
        <v>3763.44</v>
      </c>
      <c r="L13" s="105">
        <f t="shared" si="1"/>
        <v>119.15000000000009</v>
      </c>
      <c r="M13" s="205">
        <f t="shared" si="2"/>
        <v>1.0316598643793975</v>
      </c>
      <c r="N13" s="104">
        <f>E13-квітень!E13</f>
        <v>600</v>
      </c>
      <c r="O13" s="142">
        <f>F13-квітень!F13</f>
        <v>673.2600000000002</v>
      </c>
      <c r="P13" s="105">
        <f t="shared" si="6"/>
        <v>73.26000000000022</v>
      </c>
      <c r="Q13" s="103">
        <f t="shared" si="7"/>
        <v>112.21000000000004</v>
      </c>
      <c r="R13" s="36"/>
      <c r="S13" s="99">
        <f t="shared" si="8"/>
        <v>673.2600000000002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289">
        <v>150</v>
      </c>
      <c r="S15" s="288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/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44995.09</v>
      </c>
      <c r="G19" s="160">
        <f t="shared" si="0"/>
        <v>-3404.9100000000035</v>
      </c>
      <c r="H19" s="162">
        <f t="shared" si="3"/>
        <v>92.96506198347106</v>
      </c>
      <c r="I19" s="163">
        <f t="shared" si="4"/>
        <v>-85004.91</v>
      </c>
      <c r="J19" s="163">
        <f t="shared" si="5"/>
        <v>34.611607692307686</v>
      </c>
      <c r="K19" s="159">
        <v>35230.56</v>
      </c>
      <c r="L19" s="165">
        <f t="shared" si="1"/>
        <v>9764.529999999999</v>
      </c>
      <c r="M19" s="211">
        <f t="shared" si="2"/>
        <v>1.2771607944920547</v>
      </c>
      <c r="N19" s="162">
        <f>E19-квітень!E19</f>
        <v>10500</v>
      </c>
      <c r="O19" s="166">
        <f>F19-квітень!F19</f>
        <v>8890.325999999994</v>
      </c>
      <c r="P19" s="165">
        <f t="shared" si="6"/>
        <v>-1609.6740000000063</v>
      </c>
      <c r="Q19" s="163">
        <f t="shared" si="7"/>
        <v>84.66977142857137</v>
      </c>
      <c r="R19" s="289">
        <v>9450</v>
      </c>
      <c r="S19" s="288">
        <f t="shared" si="8"/>
        <v>-559.6740000000063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26128.49</v>
      </c>
      <c r="G20" s="250">
        <f t="shared" si="0"/>
        <v>-3521.5099999999984</v>
      </c>
      <c r="H20" s="193">
        <f t="shared" si="3"/>
        <v>88.12306913996628</v>
      </c>
      <c r="I20" s="251">
        <f t="shared" si="4"/>
        <v>-50371.509999999995</v>
      </c>
      <c r="J20" s="251">
        <f t="shared" si="5"/>
        <v>34.15488888888889</v>
      </c>
      <c r="K20" s="252">
        <v>35230.56</v>
      </c>
      <c r="L20" s="164">
        <f t="shared" si="1"/>
        <v>-9102.069999999996</v>
      </c>
      <c r="M20" s="253">
        <f t="shared" si="2"/>
        <v>0.7416427669614108</v>
      </c>
      <c r="N20" s="193">
        <f>E20-квітень!E20</f>
        <v>5750</v>
      </c>
      <c r="O20" s="177">
        <f>F20-квітень!F20</f>
        <v>4148.91</v>
      </c>
      <c r="P20" s="164">
        <f t="shared" si="6"/>
        <v>-1601.0900000000001</v>
      </c>
      <c r="Q20" s="251">
        <f t="shared" si="7"/>
        <v>72.15495652173914</v>
      </c>
      <c r="R20" s="106">
        <v>4450</v>
      </c>
      <c r="S20" s="99">
        <f t="shared" si="8"/>
        <v>-301.09000000000015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4093.69</v>
      </c>
      <c r="G21" s="250">
        <f t="shared" si="0"/>
        <v>143.69000000000005</v>
      </c>
      <c r="H21" s="193"/>
      <c r="I21" s="251">
        <f t="shared" si="4"/>
        <v>-6606.3099999999995</v>
      </c>
      <c r="J21" s="251">
        <f t="shared" si="5"/>
        <v>38.258785046728974</v>
      </c>
      <c r="K21" s="252">
        <v>0</v>
      </c>
      <c r="L21" s="164">
        <f t="shared" si="1"/>
        <v>4093.69</v>
      </c>
      <c r="M21" s="253"/>
      <c r="N21" s="193">
        <f>E21-квітень!E21</f>
        <v>950</v>
      </c>
      <c r="O21" s="177">
        <f>F21-квітень!F21</f>
        <v>974.75</v>
      </c>
      <c r="P21" s="164">
        <f t="shared" si="6"/>
        <v>24.75</v>
      </c>
      <c r="Q21" s="251"/>
      <c r="R21" s="106">
        <v>1000</v>
      </c>
      <c r="S21" s="99">
        <f t="shared" si="8"/>
        <v>-25.25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14772.92</v>
      </c>
      <c r="G22" s="250">
        <f t="shared" si="0"/>
        <v>-27.079999999999927</v>
      </c>
      <c r="H22" s="193"/>
      <c r="I22" s="251">
        <f t="shared" si="4"/>
        <v>-28027.08</v>
      </c>
      <c r="J22" s="251">
        <f t="shared" si="5"/>
        <v>34.516168224299065</v>
      </c>
      <c r="K22" s="252">
        <v>0</v>
      </c>
      <c r="L22" s="164">
        <f t="shared" si="1"/>
        <v>14772.92</v>
      </c>
      <c r="M22" s="253"/>
      <c r="N22" s="193">
        <f>E22-квітень!E22</f>
        <v>3800</v>
      </c>
      <c r="O22" s="177">
        <f>F22-квітень!F22</f>
        <v>3766.6800000000003</v>
      </c>
      <c r="P22" s="164">
        <f t="shared" si="6"/>
        <v>-33.31999999999971</v>
      </c>
      <c r="Q22" s="251"/>
      <c r="R22" s="106">
        <v>4000</v>
      </c>
      <c r="S22" s="99">
        <f t="shared" si="8"/>
        <v>-233.3199999999997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178305.78</v>
      </c>
      <c r="G23" s="148">
        <f t="shared" si="0"/>
        <v>1253.1800000000221</v>
      </c>
      <c r="H23" s="155">
        <f t="shared" si="3"/>
        <v>100.70780095858521</v>
      </c>
      <c r="I23" s="156">
        <f t="shared" si="4"/>
        <v>-222824.31999999998</v>
      </c>
      <c r="J23" s="156">
        <f t="shared" si="5"/>
        <v>44.45086020719961</v>
      </c>
      <c r="K23" s="156">
        <v>140248.27</v>
      </c>
      <c r="L23" s="159">
        <f t="shared" si="1"/>
        <v>38057.51000000001</v>
      </c>
      <c r="M23" s="207">
        <f t="shared" si="2"/>
        <v>1.271358142243038</v>
      </c>
      <c r="N23" s="155">
        <f>E23-квітень!E23</f>
        <v>38076.09999999998</v>
      </c>
      <c r="O23" s="158">
        <f>F23-квітень!F23</f>
        <v>36996.49000000002</v>
      </c>
      <c r="P23" s="159">
        <f t="shared" si="6"/>
        <v>-1079.609999999957</v>
      </c>
      <c r="Q23" s="156">
        <f t="shared" si="7"/>
        <v>97.16459931558128</v>
      </c>
      <c r="R23" s="280">
        <f>R24+R32+R33+R34+R35</f>
        <v>37059</v>
      </c>
      <c r="S23" s="288">
        <f t="shared" si="8"/>
        <v>-62.50999999998021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81732.13</v>
      </c>
      <c r="G24" s="148">
        <f t="shared" si="0"/>
        <v>-975.7699999999895</v>
      </c>
      <c r="H24" s="155">
        <f t="shared" si="3"/>
        <v>98.82022152660146</v>
      </c>
      <c r="I24" s="156">
        <f t="shared" si="4"/>
        <v>-124888.87</v>
      </c>
      <c r="J24" s="156">
        <f t="shared" si="5"/>
        <v>39.55654555926068</v>
      </c>
      <c r="K24" s="156">
        <v>71540.14</v>
      </c>
      <c r="L24" s="159">
        <f t="shared" si="1"/>
        <v>10191.990000000005</v>
      </c>
      <c r="M24" s="207">
        <f t="shared" si="2"/>
        <v>1.1424653348455847</v>
      </c>
      <c r="N24" s="155">
        <f>E24-квітень!E24</f>
        <v>15364.099999999991</v>
      </c>
      <c r="O24" s="158">
        <f>F24-квітень!F24</f>
        <v>14055.14</v>
      </c>
      <c r="P24" s="159">
        <f t="shared" si="6"/>
        <v>-1308.9599999999919</v>
      </c>
      <c r="Q24" s="156">
        <f t="shared" si="7"/>
        <v>91.48039911221619</v>
      </c>
      <c r="R24" s="106">
        <f>R25+R28+R29</f>
        <v>14352</v>
      </c>
      <c r="S24" s="99">
        <f t="shared" si="8"/>
        <v>-296.8600000000006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10136.04</v>
      </c>
      <c r="G25" s="169">
        <f t="shared" si="0"/>
        <v>551.9400000000005</v>
      </c>
      <c r="H25" s="171">
        <f t="shared" si="3"/>
        <v>105.75891319998749</v>
      </c>
      <c r="I25" s="172">
        <f t="shared" si="4"/>
        <v>-12672.96</v>
      </c>
      <c r="J25" s="172">
        <f t="shared" si="5"/>
        <v>44.43877416809155</v>
      </c>
      <c r="K25" s="173">
        <v>8640.15</v>
      </c>
      <c r="L25" s="164">
        <f t="shared" si="1"/>
        <v>1495.8900000000012</v>
      </c>
      <c r="M25" s="213">
        <f t="shared" si="2"/>
        <v>1.1731324108956442</v>
      </c>
      <c r="N25" s="155">
        <f>E25-квітень!E25</f>
        <v>254.10000000000036</v>
      </c>
      <c r="O25" s="158">
        <f>F25-квітень!F25</f>
        <v>389.7300000000014</v>
      </c>
      <c r="P25" s="175">
        <f t="shared" si="6"/>
        <v>135.63000000000102</v>
      </c>
      <c r="Q25" s="172">
        <f t="shared" si="7"/>
        <v>153.3766233766237</v>
      </c>
      <c r="R25" s="280">
        <v>347</v>
      </c>
      <c r="S25" s="288">
        <f t="shared" si="8"/>
        <v>42.73000000000138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197.27</v>
      </c>
      <c r="G26" s="196">
        <f t="shared" si="0"/>
        <v>-407.73</v>
      </c>
      <c r="H26" s="197">
        <f t="shared" si="3"/>
        <v>32.606611570247935</v>
      </c>
      <c r="I26" s="198">
        <f t="shared" si="4"/>
        <v>-1625.03</v>
      </c>
      <c r="J26" s="198">
        <f t="shared" si="5"/>
        <v>10.825330626131812</v>
      </c>
      <c r="K26" s="198">
        <v>263.65</v>
      </c>
      <c r="L26" s="198">
        <f t="shared" si="1"/>
        <v>-66.37999999999997</v>
      </c>
      <c r="M26" s="226">
        <f t="shared" si="2"/>
        <v>0.7482268158543525</v>
      </c>
      <c r="N26" s="234">
        <f>E26-квітень!E26</f>
        <v>55</v>
      </c>
      <c r="O26" s="234">
        <f>F26-квітень!F26</f>
        <v>-2.969999999999999</v>
      </c>
      <c r="P26" s="198">
        <f t="shared" si="6"/>
        <v>-57.97</v>
      </c>
      <c r="Q26" s="198">
        <f t="shared" si="7"/>
        <v>-5.399999999999998</v>
      </c>
      <c r="R26" s="106"/>
      <c r="S26" s="99">
        <f t="shared" si="8"/>
        <v>-2.969999999999999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9938.77</v>
      </c>
      <c r="G27" s="196">
        <f t="shared" si="0"/>
        <v>959.6700000000001</v>
      </c>
      <c r="H27" s="197">
        <f t="shared" si="3"/>
        <v>110.68781949193126</v>
      </c>
      <c r="I27" s="198">
        <f t="shared" si="4"/>
        <v>-11047.93</v>
      </c>
      <c r="J27" s="198">
        <f t="shared" si="5"/>
        <v>47.35746925433727</v>
      </c>
      <c r="K27" s="198">
        <v>8376.5</v>
      </c>
      <c r="L27" s="198">
        <f t="shared" si="1"/>
        <v>1562.2700000000004</v>
      </c>
      <c r="M27" s="226">
        <f t="shared" si="2"/>
        <v>1.186506297379574</v>
      </c>
      <c r="N27" s="234">
        <f>E27-квітень!E27</f>
        <v>199.10000000000036</v>
      </c>
      <c r="O27" s="234">
        <f>F27-квітень!F27</f>
        <v>392.7000000000007</v>
      </c>
      <c r="P27" s="198">
        <f t="shared" si="6"/>
        <v>193.60000000000036</v>
      </c>
      <c r="Q27" s="198">
        <f t="shared" si="7"/>
        <v>197.23756906077347</v>
      </c>
      <c r="R27" s="106"/>
      <c r="S27" s="99">
        <f t="shared" si="8"/>
        <v>392.7000000000007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-45.48</v>
      </c>
      <c r="G28" s="169">
        <f t="shared" si="0"/>
        <v>-174.28</v>
      </c>
      <c r="H28" s="171">
        <f t="shared" si="3"/>
        <v>-35.31055900621117</v>
      </c>
      <c r="I28" s="172">
        <f t="shared" si="4"/>
        <v>-865.48</v>
      </c>
      <c r="J28" s="172">
        <f t="shared" si="5"/>
        <v>-5.546341463414634</v>
      </c>
      <c r="K28" s="172">
        <v>420.08</v>
      </c>
      <c r="L28" s="172">
        <f t="shared" si="1"/>
        <v>-465.56</v>
      </c>
      <c r="M28" s="210">
        <f t="shared" si="2"/>
        <v>-0.10826509236335936</v>
      </c>
      <c r="N28" s="193">
        <f>E28-квітень!E28</f>
        <v>5.000000000000014</v>
      </c>
      <c r="O28" s="177">
        <f>F28-квітень!F28</f>
        <v>-150</v>
      </c>
      <c r="P28" s="175">
        <f t="shared" si="6"/>
        <v>-155</v>
      </c>
      <c r="Q28" s="172">
        <f>O28/N28*100</f>
        <v>-2999.9999999999914</v>
      </c>
      <c r="R28" s="106">
        <v>5</v>
      </c>
      <c r="S28" s="99">
        <f t="shared" si="8"/>
        <v>-155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71641.57</v>
      </c>
      <c r="G29" s="169">
        <f t="shared" si="0"/>
        <v>-1353.429999999993</v>
      </c>
      <c r="H29" s="171">
        <f t="shared" si="3"/>
        <v>98.1458593054319</v>
      </c>
      <c r="I29" s="172">
        <f t="shared" si="4"/>
        <v>-111350.43</v>
      </c>
      <c r="J29" s="172">
        <f t="shared" si="5"/>
        <v>39.150110387339346</v>
      </c>
      <c r="K29" s="173">
        <v>62479.91</v>
      </c>
      <c r="L29" s="173">
        <f t="shared" si="1"/>
        <v>9161.660000000003</v>
      </c>
      <c r="M29" s="209">
        <f t="shared" si="2"/>
        <v>1.1466336939345785</v>
      </c>
      <c r="N29" s="193">
        <f>E29-квітень!E29</f>
        <v>15105</v>
      </c>
      <c r="O29" s="177">
        <f>F29-квітень!F29</f>
        <v>13815.410000000003</v>
      </c>
      <c r="P29" s="175">
        <f t="shared" si="6"/>
        <v>-1289.5899999999965</v>
      </c>
      <c r="Q29" s="172">
        <f>O29/N29*100</f>
        <v>91.46249586229727</v>
      </c>
      <c r="R29" s="280">
        <v>14000</v>
      </c>
      <c r="S29" s="288">
        <f t="shared" si="8"/>
        <v>-184.5899999999965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24151.24</v>
      </c>
      <c r="G30" s="196">
        <f t="shared" si="0"/>
        <v>2071.2400000000016</v>
      </c>
      <c r="H30" s="197">
        <f t="shared" si="3"/>
        <v>109.380615942029</v>
      </c>
      <c r="I30" s="198">
        <f t="shared" si="4"/>
        <v>-33381.759999999995</v>
      </c>
      <c r="J30" s="198">
        <f t="shared" si="5"/>
        <v>41.97806476283177</v>
      </c>
      <c r="K30" s="198">
        <v>19348.56</v>
      </c>
      <c r="L30" s="198">
        <f t="shared" si="1"/>
        <v>4802.68</v>
      </c>
      <c r="M30" s="226">
        <f t="shared" si="2"/>
        <v>1.248218988906668</v>
      </c>
      <c r="N30" s="234">
        <f>E30-квітень!E30</f>
        <v>4650</v>
      </c>
      <c r="O30" s="234">
        <f>F30-квітень!F30</f>
        <v>4846.710000000003</v>
      </c>
      <c r="P30" s="198">
        <f t="shared" si="6"/>
        <v>196.71000000000276</v>
      </c>
      <c r="Q30" s="198">
        <f>O30/N30*100</f>
        <v>104.23032258064522</v>
      </c>
      <c r="R30" s="106"/>
      <c r="S30" s="99">
        <f t="shared" si="8"/>
        <v>4846.710000000003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47490.33</v>
      </c>
      <c r="G31" s="196">
        <f t="shared" si="0"/>
        <v>-3424.6699999999983</v>
      </c>
      <c r="H31" s="197">
        <f t="shared" si="3"/>
        <v>93.27375036826083</v>
      </c>
      <c r="I31" s="198">
        <f t="shared" si="4"/>
        <v>-77968.67</v>
      </c>
      <c r="J31" s="198">
        <f t="shared" si="5"/>
        <v>37.853266804294634</v>
      </c>
      <c r="K31" s="198">
        <v>43131.35</v>
      </c>
      <c r="L31" s="198">
        <f t="shared" si="1"/>
        <v>4358.980000000003</v>
      </c>
      <c r="M31" s="226">
        <f t="shared" si="2"/>
        <v>1.1010629159532452</v>
      </c>
      <c r="N31" s="234">
        <f>E31-квітень!E31</f>
        <v>10455</v>
      </c>
      <c r="O31" s="234">
        <f>F31-квітень!F31</f>
        <v>8968.700000000004</v>
      </c>
      <c r="P31" s="198">
        <f t="shared" si="6"/>
        <v>-1486.2999999999956</v>
      </c>
      <c r="Q31" s="198">
        <f>O31/N31*100</f>
        <v>85.78383548541372</v>
      </c>
      <c r="R31" s="106"/>
      <c r="S31" s="99">
        <f t="shared" si="8"/>
        <v>8968.700000000004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75.23</v>
      </c>
      <c r="G33" s="148">
        <f t="shared" si="0"/>
        <v>36.230000000000004</v>
      </c>
      <c r="H33" s="155">
        <f t="shared" si="3"/>
        <v>192.8974358974359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E33-квітень!E33</f>
        <v>12</v>
      </c>
      <c r="O33" s="158">
        <f>F33-квітень!F33</f>
        <v>22.820000000000007</v>
      </c>
      <c r="P33" s="159">
        <f t="shared" si="6"/>
        <v>10.820000000000007</v>
      </c>
      <c r="Q33" s="156">
        <f>O33/N33*100</f>
        <v>190.16666666666674</v>
      </c>
      <c r="R33" s="106">
        <v>7</v>
      </c>
      <c r="S33" s="99">
        <f t="shared" si="8"/>
        <v>15.820000000000007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96524.99</v>
      </c>
      <c r="G35" s="160">
        <f t="shared" si="0"/>
        <v>2219.290000000008</v>
      </c>
      <c r="H35" s="162">
        <f t="shared" si="3"/>
        <v>102.35329359731173</v>
      </c>
      <c r="I35" s="163">
        <f t="shared" si="4"/>
        <v>-97869.11</v>
      </c>
      <c r="J35" s="163">
        <f t="shared" si="5"/>
        <v>49.65427963091473</v>
      </c>
      <c r="K35" s="176">
        <v>68766.7</v>
      </c>
      <c r="L35" s="176">
        <f>F35-K35</f>
        <v>27758.290000000008</v>
      </c>
      <c r="M35" s="224">
        <f>F35/K35</f>
        <v>1.4036588930398</v>
      </c>
      <c r="N35" s="155">
        <f>E35-квітень!E35</f>
        <v>22700</v>
      </c>
      <c r="O35" s="158">
        <f>F35-квітень!F35</f>
        <v>22917.95000000001</v>
      </c>
      <c r="P35" s="165">
        <f t="shared" si="6"/>
        <v>217.95000000001164</v>
      </c>
      <c r="Q35" s="163">
        <f>O35/N35*100</f>
        <v>100.96013215859037</v>
      </c>
      <c r="R35" s="280">
        <v>22700</v>
      </c>
      <c r="S35" s="288">
        <f t="shared" si="8"/>
        <v>217.95000000001164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E36-квітень!E36</f>
        <v>0</v>
      </c>
      <c r="O36" s="142">
        <f>F36-квітень!F36</f>
        <v>0.01</v>
      </c>
      <c r="P36" s="105">
        <f t="shared" si="6"/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19261.69</v>
      </c>
      <c r="G37" s="102">
        <f t="shared" si="0"/>
        <v>341.6899999999987</v>
      </c>
      <c r="H37" s="104">
        <f t="shared" si="3"/>
        <v>101.80597251585624</v>
      </c>
      <c r="I37" s="103">
        <f t="shared" si="4"/>
        <v>-21738.31</v>
      </c>
      <c r="J37" s="103">
        <f t="shared" si="5"/>
        <v>46.97973170731707</v>
      </c>
      <c r="K37" s="126">
        <v>17552.06</v>
      </c>
      <c r="L37" s="126">
        <f t="shared" si="1"/>
        <v>1709.6299999999974</v>
      </c>
      <c r="M37" s="214">
        <f t="shared" si="9"/>
        <v>1.0974033817113202</v>
      </c>
      <c r="N37" s="104">
        <f>E37-квітень!E37</f>
        <v>5700</v>
      </c>
      <c r="O37" s="142">
        <f>F37-квітень!F37</f>
        <v>5263.269999999999</v>
      </c>
      <c r="P37" s="105">
        <f t="shared" si="6"/>
        <v>-436.7300000000014</v>
      </c>
      <c r="Q37" s="103">
        <f>O37/N37*100</f>
        <v>92.33807017543857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77240.19</v>
      </c>
      <c r="G38" s="102">
        <f t="shared" si="0"/>
        <v>1880.1900000000023</v>
      </c>
      <c r="H38" s="104">
        <f t="shared" si="3"/>
        <v>102.49494426751593</v>
      </c>
      <c r="I38" s="103">
        <f t="shared" si="4"/>
        <v>-76098.91</v>
      </c>
      <c r="J38" s="103">
        <f t="shared" si="5"/>
        <v>50.37214252594413</v>
      </c>
      <c r="K38" s="126">
        <v>51200.46</v>
      </c>
      <c r="L38" s="126">
        <f t="shared" si="1"/>
        <v>26039.730000000003</v>
      </c>
      <c r="M38" s="214">
        <f t="shared" si="9"/>
        <v>1.5085839072539584</v>
      </c>
      <c r="N38" s="104">
        <f>E38-квітень!E38</f>
        <v>17000</v>
      </c>
      <c r="O38" s="142">
        <f>F38-квітень!F38</f>
        <v>17654.670000000006</v>
      </c>
      <c r="P38" s="105">
        <f t="shared" si="6"/>
        <v>654.6700000000055</v>
      </c>
      <c r="Q38" s="103">
        <f>O38/N38*100</f>
        <v>103.85100000000003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0.35</v>
      </c>
      <c r="P40" s="35">
        <f t="shared" si="6"/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27355.109999999993</v>
      </c>
      <c r="G41" s="149">
        <f>G42+G43+G44+G45+G46+G48+G50+G51+G52+G53+G54+G59+G60+G64</f>
        <v>2597.25</v>
      </c>
      <c r="H41" s="150">
        <f>F41/E41*100</f>
        <v>110.31487299020455</v>
      </c>
      <c r="I41" s="151">
        <f>F41-D41</f>
        <v>-31669.890000000007</v>
      </c>
      <c r="J41" s="151">
        <f>F41/D41*100</f>
        <v>46.34495552731892</v>
      </c>
      <c r="K41" s="149">
        <v>22840.42</v>
      </c>
      <c r="L41" s="149">
        <f t="shared" si="1"/>
        <v>4514.689999999995</v>
      </c>
      <c r="M41" s="203">
        <f t="shared" si="9"/>
        <v>1.1976623021818336</v>
      </c>
      <c r="N41" s="149">
        <f>N42+N43+N44+N45+N46+N48+N50+N51+N52+N53+N54+N59+N60+N64+N47</f>
        <v>5362.8</v>
      </c>
      <c r="O41" s="149">
        <f>O42+O43+O44+O45+O46+O48+O50+O51+O52+O53+O54+O59+O60+O64+O47+O40</f>
        <v>7917.213999999998</v>
      </c>
      <c r="P41" s="149">
        <f>P42+P43+P44+P45+P46+P48+P50+P51+P52+P53+P54+P59+P60+P64</f>
        <v>2560.8639999999996</v>
      </c>
      <c r="Q41" s="149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289">
        <v>420</v>
      </c>
      <c r="S42" s="289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442.26</v>
      </c>
      <c r="G46" s="160">
        <f t="shared" si="12"/>
        <v>336.26</v>
      </c>
      <c r="H46" s="162">
        <f t="shared" si="10"/>
        <v>417.2264150943396</v>
      </c>
      <c r="I46" s="163">
        <f t="shared" si="13"/>
        <v>182.26</v>
      </c>
      <c r="J46" s="163">
        <f t="shared" si="16"/>
        <v>170.1</v>
      </c>
      <c r="K46" s="163">
        <v>50.4</v>
      </c>
      <c r="L46" s="163">
        <f t="shared" si="1"/>
        <v>391.86</v>
      </c>
      <c r="M46" s="216">
        <f t="shared" si="17"/>
        <v>8.775</v>
      </c>
      <c r="N46" s="162">
        <f>E46-квітень!E46</f>
        <v>22</v>
      </c>
      <c r="O46" s="166">
        <f>F46-квітень!F46</f>
        <v>47.77699999999999</v>
      </c>
      <c r="P46" s="165">
        <f t="shared" si="14"/>
        <v>25.776999999999987</v>
      </c>
      <c r="Q46" s="163">
        <f t="shared" si="11"/>
        <v>217.16818181818175</v>
      </c>
      <c r="R46" s="36">
        <v>22</v>
      </c>
      <c r="S46" s="36">
        <f t="shared" si="15"/>
        <v>25.776999999999987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505.13</v>
      </c>
      <c r="G48" s="160">
        <f t="shared" si="12"/>
        <v>105.13</v>
      </c>
      <c r="H48" s="162">
        <f t="shared" si="10"/>
        <v>126.28250000000001</v>
      </c>
      <c r="I48" s="163">
        <f t="shared" si="13"/>
        <v>-224.87</v>
      </c>
      <c r="J48" s="163">
        <f t="shared" si="16"/>
        <v>69.19589041095891</v>
      </c>
      <c r="K48" s="163">
        <v>76.33</v>
      </c>
      <c r="L48" s="163">
        <f t="shared" si="1"/>
        <v>428.8</v>
      </c>
      <c r="M48" s="216"/>
      <c r="N48" s="162">
        <f>E48-квітень!E48</f>
        <v>60</v>
      </c>
      <c r="O48" s="166">
        <f>F48-квітень!F48</f>
        <v>111.65999999999997</v>
      </c>
      <c r="P48" s="165">
        <f t="shared" si="14"/>
        <v>51.65999999999997</v>
      </c>
      <c r="Q48" s="163">
        <f t="shared" si="11"/>
        <v>186.09999999999997</v>
      </c>
      <c r="R48" s="36">
        <v>60</v>
      </c>
      <c r="S48" s="36">
        <f t="shared" si="15"/>
        <v>51.65999999999997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6250.27</v>
      </c>
      <c r="G50" s="160">
        <f t="shared" si="12"/>
        <v>1110.2700000000004</v>
      </c>
      <c r="H50" s="162">
        <f t="shared" si="10"/>
        <v>121.60058365758755</v>
      </c>
      <c r="I50" s="163">
        <f t="shared" si="13"/>
        <v>-4749.73</v>
      </c>
      <c r="J50" s="163">
        <f t="shared" si="16"/>
        <v>56.82063636363637</v>
      </c>
      <c r="K50" s="163">
        <v>4057.41</v>
      </c>
      <c r="L50" s="163">
        <f t="shared" si="1"/>
        <v>2192.8600000000006</v>
      </c>
      <c r="M50" s="216">
        <f t="shared" si="17"/>
        <v>1.5404580754717914</v>
      </c>
      <c r="N50" s="162">
        <f>E50-квітень!E50</f>
        <v>900</v>
      </c>
      <c r="O50" s="166">
        <f>F50-квітень!F50</f>
        <v>1568.7600000000002</v>
      </c>
      <c r="P50" s="165">
        <f t="shared" si="14"/>
        <v>668.7600000000002</v>
      </c>
      <c r="Q50" s="163">
        <f t="shared" si="11"/>
        <v>174.3066666666667</v>
      </c>
      <c r="R50" s="36">
        <v>1000</v>
      </c>
      <c r="S50" s="36">
        <f t="shared" si="15"/>
        <v>568.7600000000002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216.35</v>
      </c>
      <c r="G51" s="160">
        <f t="shared" si="12"/>
        <v>91.35</v>
      </c>
      <c r="H51" s="162">
        <f t="shared" si="10"/>
        <v>173.07999999999998</v>
      </c>
      <c r="I51" s="163">
        <f t="shared" si="13"/>
        <v>-93.65</v>
      </c>
      <c r="J51" s="163">
        <f t="shared" si="16"/>
        <v>69.79032258064515</v>
      </c>
      <c r="K51" s="163">
        <v>33.93</v>
      </c>
      <c r="L51" s="163">
        <f t="shared" si="1"/>
        <v>182.42</v>
      </c>
      <c r="M51" s="216"/>
      <c r="N51" s="162">
        <f>E51-квітень!E51</f>
        <v>25</v>
      </c>
      <c r="O51" s="166">
        <f>F51-квітень!F51</f>
        <v>40.97999999999999</v>
      </c>
      <c r="P51" s="165">
        <f t="shared" si="14"/>
        <v>15.97999999999999</v>
      </c>
      <c r="Q51" s="163">
        <f t="shared" si="11"/>
        <v>163.91999999999996</v>
      </c>
      <c r="R51" s="36">
        <v>25</v>
      </c>
      <c r="S51" s="36">
        <f t="shared" si="15"/>
        <v>15.97999999999999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333.52</v>
      </c>
      <c r="G54" s="160">
        <f t="shared" si="12"/>
        <v>-141.48000000000002</v>
      </c>
      <c r="H54" s="162">
        <f t="shared" si="10"/>
        <v>70.21473684210527</v>
      </c>
      <c r="I54" s="163">
        <f t="shared" si="13"/>
        <v>-866.48</v>
      </c>
      <c r="J54" s="163">
        <f t="shared" si="16"/>
        <v>27.79333333333333</v>
      </c>
      <c r="K54" s="163">
        <v>2573.46</v>
      </c>
      <c r="L54" s="163">
        <f t="shared" si="1"/>
        <v>-2239.94</v>
      </c>
      <c r="M54" s="216">
        <f t="shared" si="17"/>
        <v>0.12959983834992578</v>
      </c>
      <c r="N54" s="162">
        <f>E54-квітень!E54</f>
        <v>145</v>
      </c>
      <c r="O54" s="166">
        <f>F54-квітень!F54</f>
        <v>44.25799999999998</v>
      </c>
      <c r="P54" s="165">
        <f t="shared" si="14"/>
        <v>-100.74200000000002</v>
      </c>
      <c r="Q54" s="163">
        <f t="shared" si="11"/>
        <v>30.522758620689643</v>
      </c>
      <c r="R54" s="36">
        <v>70</v>
      </c>
      <c r="S54" s="36">
        <f t="shared" si="15"/>
        <v>-25.74200000000002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290.38</v>
      </c>
      <c r="G55" s="33">
        <f t="shared" si="12"/>
        <v>-109.62</v>
      </c>
      <c r="H55" s="29">
        <f t="shared" si="10"/>
        <v>72.595</v>
      </c>
      <c r="I55" s="103">
        <f t="shared" si="13"/>
        <v>-707.62</v>
      </c>
      <c r="J55" s="103">
        <f t="shared" si="16"/>
        <v>29.096192384769537</v>
      </c>
      <c r="K55" s="103">
        <v>367.55</v>
      </c>
      <c r="L55" s="103">
        <f>F55-K55</f>
        <v>-77.17000000000002</v>
      </c>
      <c r="M55" s="108">
        <f t="shared" si="17"/>
        <v>0.7900421711331791</v>
      </c>
      <c r="N55" s="104">
        <f>E55-квітень!E55</f>
        <v>130</v>
      </c>
      <c r="O55" s="142">
        <f>F55-квітень!F55</f>
        <v>35</v>
      </c>
      <c r="P55" s="105">
        <f t="shared" si="14"/>
        <v>-95</v>
      </c>
      <c r="Q55" s="118">
        <f t="shared" si="11"/>
        <v>26.923076923076923</v>
      </c>
      <c r="R55" s="36"/>
      <c r="S55" s="36">
        <f t="shared" si="15"/>
        <v>35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E56-квітень!E56</f>
        <v>0</v>
      </c>
      <c r="O56" s="142">
        <f>F56-квітень!F56</f>
        <v>0.03</v>
      </c>
      <c r="P56" s="105">
        <f t="shared" si="14"/>
        <v>0.03</v>
      </c>
      <c r="Q56" s="118" t="e">
        <f t="shared" si="11"/>
        <v>#DIV/0!</v>
      </c>
      <c r="R56" s="36"/>
      <c r="S56" s="36">
        <f t="shared" si="15"/>
        <v>0.03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43</v>
      </c>
      <c r="G58" s="33">
        <f t="shared" si="12"/>
        <v>-32</v>
      </c>
      <c r="H58" s="29">
        <f t="shared" si="10"/>
        <v>57.333333333333336</v>
      </c>
      <c r="I58" s="103">
        <f t="shared" si="13"/>
        <v>-157</v>
      </c>
      <c r="J58" s="103">
        <f t="shared" si="16"/>
        <v>21.5</v>
      </c>
      <c r="K58" s="103">
        <v>2205.67</v>
      </c>
      <c r="L58" s="103">
        <f>F58-K58</f>
        <v>-2162.67</v>
      </c>
      <c r="M58" s="108">
        <f t="shared" si="17"/>
        <v>0.019495210072222952</v>
      </c>
      <c r="N58" s="104">
        <f>E58-квітень!E58</f>
        <v>15</v>
      </c>
      <c r="O58" s="142">
        <f>F58-квітень!F58</f>
        <v>9.229999999999997</v>
      </c>
      <c r="P58" s="105">
        <f t="shared" si="14"/>
        <v>-5.770000000000003</v>
      </c>
      <c r="Q58" s="118">
        <f t="shared" si="11"/>
        <v>61.53333333333332</v>
      </c>
      <c r="R58" s="36"/>
      <c r="S58" s="36">
        <f t="shared" si="15"/>
        <v>9.229999999999997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4037.14</v>
      </c>
      <c r="G60" s="160">
        <f t="shared" si="12"/>
        <v>-222.86000000000013</v>
      </c>
      <c r="H60" s="162">
        <f t="shared" si="10"/>
        <v>94.76854460093897</v>
      </c>
      <c r="I60" s="163">
        <f t="shared" si="13"/>
        <v>-3312.86</v>
      </c>
      <c r="J60" s="163">
        <f t="shared" si="16"/>
        <v>54.92707482993197</v>
      </c>
      <c r="K60" s="163">
        <v>2320.11</v>
      </c>
      <c r="L60" s="163">
        <f aca="true" t="shared" si="18" ref="L60:L66">F60-K60</f>
        <v>1717.0299999999997</v>
      </c>
      <c r="M60" s="216">
        <f t="shared" si="17"/>
        <v>1.7400640486873467</v>
      </c>
      <c r="N60" s="162">
        <f>E60-квітень!E60</f>
        <v>600</v>
      </c>
      <c r="O60" s="166">
        <f>F60-квітень!F60</f>
        <v>500.9279999999999</v>
      </c>
      <c r="P60" s="165">
        <f t="shared" si="14"/>
        <v>-99.07200000000012</v>
      </c>
      <c r="Q60" s="163">
        <f t="shared" si="11"/>
        <v>83.48799999999999</v>
      </c>
      <c r="R60" s="36">
        <v>450</v>
      </c>
      <c r="S60" s="36">
        <f t="shared" si="15"/>
        <v>50.927999999999884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883.59</v>
      </c>
      <c r="G62" s="160"/>
      <c r="H62" s="162"/>
      <c r="I62" s="163"/>
      <c r="J62" s="163"/>
      <c r="K62" s="164">
        <v>478.67</v>
      </c>
      <c r="L62" s="163">
        <f t="shared" si="18"/>
        <v>404.92</v>
      </c>
      <c r="M62" s="216">
        <f t="shared" si="17"/>
        <v>1.845927256773978</v>
      </c>
      <c r="N62" s="193"/>
      <c r="O62" s="177">
        <f>F62-квітень!F62</f>
        <v>243.89999999999998</v>
      </c>
      <c r="P62" s="164"/>
      <c r="Q62" s="163"/>
      <c r="R62" s="36"/>
      <c r="S62" s="36">
        <f t="shared" si="15"/>
        <v>243.89999999999998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532468.17</v>
      </c>
      <c r="G67" s="149">
        <f>F67-E67</f>
        <v>2960.8699999999953</v>
      </c>
      <c r="H67" s="150">
        <f>F67/E67*100</f>
        <v>100.55917453829248</v>
      </c>
      <c r="I67" s="151">
        <f>F67-D67</f>
        <v>-825022.93</v>
      </c>
      <c r="J67" s="151">
        <f>F67/D67*100</f>
        <v>39.22443174765566</v>
      </c>
      <c r="K67" s="151">
        <v>397849.29</v>
      </c>
      <c r="L67" s="151">
        <f>F67-K67</f>
        <v>134618.88000000006</v>
      </c>
      <c r="M67" s="217">
        <f>F67/K67</f>
        <v>1.3383665206490631</v>
      </c>
      <c r="N67" s="149">
        <f>N8+N41+N65+N66</f>
        <v>112090.19999999998</v>
      </c>
      <c r="O67" s="149">
        <f>O8+O41+O65+O66</f>
        <v>112706.41600000001</v>
      </c>
      <c r="P67" s="153">
        <f>O67-N67</f>
        <v>616.2160000000295</v>
      </c>
      <c r="Q67" s="151">
        <f>O67/N67*100</f>
        <v>100.54975011196343</v>
      </c>
      <c r="R67" s="26">
        <f>R8+R41+R65+R66</f>
        <v>109914</v>
      </c>
      <c r="S67" s="277">
        <f>O67-R67</f>
        <v>2792.416000000012</v>
      </c>
      <c r="T67" s="277"/>
      <c r="U67" s="114">
        <f>O67/34768</f>
        <v>3.241670961803958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4585.42</v>
      </c>
      <c r="G78" s="160">
        <f t="shared" si="19"/>
        <v>-7764.58</v>
      </c>
      <c r="H78" s="162">
        <f>F78/E78*100</f>
        <v>37.128906882591096</v>
      </c>
      <c r="I78" s="165">
        <f t="shared" si="20"/>
        <v>-74414.58</v>
      </c>
      <c r="J78" s="165">
        <f>F78/D78*100</f>
        <v>5.804329113924051</v>
      </c>
      <c r="K78" s="165">
        <v>9113.39</v>
      </c>
      <c r="L78" s="165">
        <f t="shared" si="21"/>
        <v>-4527.969999999999</v>
      </c>
      <c r="M78" s="207">
        <f>F78/K78</f>
        <v>0.5031519555291719</v>
      </c>
      <c r="N78" s="162">
        <f>E78-квітень!E78</f>
        <v>3850</v>
      </c>
      <c r="O78" s="166">
        <f>F78-квітень!F78</f>
        <v>2763.9700000000003</v>
      </c>
      <c r="P78" s="165">
        <f t="shared" si="22"/>
        <v>-1086.0299999999997</v>
      </c>
      <c r="Q78" s="165">
        <f>O78/N78*100</f>
        <v>71.79142857142857</v>
      </c>
      <c r="R78" s="37">
        <v>1500</v>
      </c>
      <c r="S78" s="37">
        <f t="shared" si="23"/>
        <v>1263.9700000000003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4896.45</v>
      </c>
      <c r="G80" s="183">
        <f t="shared" si="19"/>
        <v>-23988.55</v>
      </c>
      <c r="H80" s="184">
        <f>F80/E80*100</f>
        <v>16.95153193699152</v>
      </c>
      <c r="I80" s="185">
        <f t="shared" si="20"/>
        <v>-232321.58</v>
      </c>
      <c r="J80" s="185">
        <f>F80/D80*100</f>
        <v>2.064113760661447</v>
      </c>
      <c r="K80" s="185">
        <v>11029.59</v>
      </c>
      <c r="L80" s="185">
        <f t="shared" si="21"/>
        <v>-6133.14</v>
      </c>
      <c r="M80" s="212">
        <f>F80/K80</f>
        <v>0.4439376259679643</v>
      </c>
      <c r="N80" s="183">
        <f>N76+N77+N78+N79</f>
        <v>11951</v>
      </c>
      <c r="O80" s="187">
        <f>O76+O77+O78+O79</f>
        <v>2766.96</v>
      </c>
      <c r="P80" s="185">
        <f t="shared" si="22"/>
        <v>-9184.04</v>
      </c>
      <c r="Q80" s="185">
        <f>O80/N80*100</f>
        <v>23.152539536440468</v>
      </c>
      <c r="R80" s="38">
        <f>SUM(R76:R79)</f>
        <v>1701</v>
      </c>
      <c r="S80" s="38">
        <f t="shared" si="23"/>
        <v>1065.96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34.1</v>
      </c>
      <c r="G81" s="160">
        <f t="shared" si="19"/>
        <v>30.6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E81-квітень!E81</f>
        <v>1</v>
      </c>
      <c r="O81" s="166">
        <f>F81-квітень!F81</f>
        <v>24.85</v>
      </c>
      <c r="P81" s="165">
        <f t="shared" si="22"/>
        <v>23.85</v>
      </c>
      <c r="Q81" s="165"/>
      <c r="R81" s="37">
        <v>1</v>
      </c>
      <c r="S81" s="37">
        <f t="shared" si="23"/>
        <v>23.85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5103.22</v>
      </c>
      <c r="G83" s="160">
        <f t="shared" si="19"/>
        <v>596.7200000000003</v>
      </c>
      <c r="H83" s="162">
        <f>F83/E83*100</f>
        <v>113.24131809608345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E83-квітень!E83</f>
        <v>2141.3</v>
      </c>
      <c r="O83" s="166">
        <f>F83-квітень!F83</f>
        <v>2871.6800000000003</v>
      </c>
      <c r="P83" s="165">
        <f>O83-N83</f>
        <v>730.3800000000001</v>
      </c>
      <c r="Q83" s="188">
        <f>O83/N83*100</f>
        <v>134.1091860084995</v>
      </c>
      <c r="R83" s="40">
        <v>2850</v>
      </c>
      <c r="S83" s="285">
        <f t="shared" si="23"/>
        <v>21.68000000000029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5137.37</v>
      </c>
      <c r="G85" s="181">
        <f>G81+G84+G82+G83</f>
        <v>627.3700000000002</v>
      </c>
      <c r="H85" s="184">
        <f>F85/E85*100</f>
        <v>113.91064301552105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2142.3</v>
      </c>
      <c r="O85" s="187">
        <f>O81+O84+O82+O83</f>
        <v>2896.55</v>
      </c>
      <c r="P85" s="183">
        <f>P81+P84+P82+P83</f>
        <v>754.2500000000001</v>
      </c>
      <c r="Q85" s="185">
        <f>O85/N85*100</f>
        <v>135.20748728002613</v>
      </c>
      <c r="R85" s="38">
        <f>SUM(R81:R84)</f>
        <v>2851</v>
      </c>
      <c r="S85" s="38">
        <f t="shared" si="23"/>
        <v>45.55000000000018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7.74</v>
      </c>
      <c r="G86" s="160">
        <f t="shared" si="19"/>
        <v>-7.5600000000000005</v>
      </c>
      <c r="H86" s="162">
        <f>F86/E86*100</f>
        <v>50.588235294117645</v>
      </c>
      <c r="I86" s="165">
        <f t="shared" si="20"/>
        <v>-30.259999999999998</v>
      </c>
      <c r="J86" s="165">
        <f>F86/D86*100</f>
        <v>20.36842105263158</v>
      </c>
      <c r="K86" s="165">
        <v>9.19</v>
      </c>
      <c r="L86" s="165">
        <f t="shared" si="21"/>
        <v>-1.4499999999999993</v>
      </c>
      <c r="M86" s="207">
        <f t="shared" si="24"/>
        <v>0.8422198041349294</v>
      </c>
      <c r="N86" s="162">
        <f>E86-квітень!E86</f>
        <v>1.200000000000001</v>
      </c>
      <c r="O86" s="166">
        <f>F86-квітень!F86</f>
        <v>0.14000000000000057</v>
      </c>
      <c r="P86" s="165">
        <f t="shared" si="22"/>
        <v>-1.0600000000000005</v>
      </c>
      <c r="Q86" s="165">
        <f>O86/N86</f>
        <v>0.11666666666666704</v>
      </c>
      <c r="R86" s="37">
        <v>1.2</v>
      </c>
      <c r="S86" s="37">
        <f t="shared" si="23"/>
        <v>-1.0599999999999994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10074.499999999998</v>
      </c>
      <c r="G88" s="190">
        <f>F88-E88</f>
        <v>-23335.800000000003</v>
      </c>
      <c r="H88" s="191">
        <f>F88/E88*100</f>
        <v>30.153874703310045</v>
      </c>
      <c r="I88" s="192">
        <f>F88-D88</f>
        <v>-235581.53</v>
      </c>
      <c r="J88" s="192">
        <f>F88/D88*100</f>
        <v>4.101059518058644</v>
      </c>
      <c r="K88" s="192">
        <v>15931.38</v>
      </c>
      <c r="L88" s="192">
        <f>F88-K88</f>
        <v>-5856.880000000001</v>
      </c>
      <c r="M88" s="219">
        <f t="shared" si="24"/>
        <v>0.6323683196308166</v>
      </c>
      <c r="N88" s="189">
        <f>N74+N75+N80+N85+N86</f>
        <v>14094.5</v>
      </c>
      <c r="O88" s="189">
        <f>O74+O75+O80+O85+O86</f>
        <v>5661.010000000001</v>
      </c>
      <c r="P88" s="192">
        <f t="shared" si="22"/>
        <v>-8433.489999999998</v>
      </c>
      <c r="Q88" s="192">
        <f>O88/N88*100</f>
        <v>40.16467416368087</v>
      </c>
      <c r="R88" s="26">
        <f>R80+R85+R86+R87</f>
        <v>4553.2</v>
      </c>
      <c r="S88" s="26">
        <f>S80+S85+S86+S87</f>
        <v>1110.4500000000003</v>
      </c>
      <c r="T88" s="26"/>
      <c r="U88" s="94">
        <f>O88/8104.96</f>
        <v>0.6984624230101075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542542.67</v>
      </c>
      <c r="G89" s="190">
        <f>F89-E89</f>
        <v>-20374.93000000005</v>
      </c>
      <c r="H89" s="191">
        <f>F89/E89*100</f>
        <v>96.38047735583324</v>
      </c>
      <c r="I89" s="192">
        <f>F89-D89</f>
        <v>-1060604.46</v>
      </c>
      <c r="J89" s="192">
        <f>F89/D89*100</f>
        <v>33.84235045226323</v>
      </c>
      <c r="K89" s="192">
        <f>K67+K88</f>
        <v>413780.67</v>
      </c>
      <c r="L89" s="192">
        <f>F89-K89</f>
        <v>128762.00000000006</v>
      </c>
      <c r="M89" s="219">
        <f t="shared" si="24"/>
        <v>1.3111841836400915</v>
      </c>
      <c r="N89" s="190">
        <f>N67+N88</f>
        <v>126184.69999999998</v>
      </c>
      <c r="O89" s="190">
        <f>O67+O88</f>
        <v>118367.426</v>
      </c>
      <c r="P89" s="192">
        <f t="shared" si="22"/>
        <v>-7817.273999999976</v>
      </c>
      <c r="Q89" s="192">
        <f>O89/N89*100</f>
        <v>93.80489552219883</v>
      </c>
      <c r="R89" s="26">
        <f>R67+R88</f>
        <v>114467.2</v>
      </c>
      <c r="S89" s="26">
        <f>S67+S88</f>
        <v>3902.8660000000123</v>
      </c>
      <c r="T89" s="26"/>
      <c r="U89" s="94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5"/>
      <c r="H92" s="315"/>
      <c r="I92" s="315"/>
      <c r="J92" s="315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42886</v>
      </c>
      <c r="D93" s="28">
        <v>10184.67</v>
      </c>
      <c r="G93" s="4" t="s">
        <v>58</v>
      </c>
      <c r="O93" s="300"/>
      <c r="P93" s="300"/>
    </row>
    <row r="94" spans="3:16" ht="15">
      <c r="C94" s="80">
        <v>42885</v>
      </c>
      <c r="D94" s="28">
        <v>10664.9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42884</v>
      </c>
      <c r="D95" s="28">
        <v>6919.44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1135.71022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733.8000000000001</v>
      </c>
      <c r="G100" s="67">
        <f>G48+G51+G52</f>
        <v>201.79999999999998</v>
      </c>
      <c r="H100" s="68"/>
      <c r="I100" s="68"/>
      <c r="N100" s="28">
        <f>N48+N51+N52</f>
        <v>88</v>
      </c>
      <c r="O100" s="200">
        <f>O48+O51+O52</f>
        <v>153.59999999999997</v>
      </c>
      <c r="P100" s="28">
        <f>P48+P51+P52</f>
        <v>65.59999999999997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507326.6600000001</v>
      </c>
      <c r="G102" s="28">
        <f>F102-E102</f>
        <v>2354.160000000091</v>
      </c>
      <c r="H102" s="228">
        <f>F102/E102</f>
        <v>1.004661956839234</v>
      </c>
      <c r="I102" s="28">
        <f>F102-D102</f>
        <v>-791721.94</v>
      </c>
      <c r="J102" s="228">
        <f>F102/D102</f>
        <v>0.39053708999032066</v>
      </c>
      <c r="N102" s="28">
        <f>N9+N15+N17+N18+N19+N23+N42+N45+N65+N59</f>
        <v>106907.39999999998</v>
      </c>
      <c r="O102" s="227">
        <f>O9+O15+O17+O18+O19+O23+O42+O45+O65+O59</f>
        <v>107174.83200000002</v>
      </c>
      <c r="P102" s="28">
        <f>O102-N102</f>
        <v>267.43200000004435</v>
      </c>
      <c r="Q102" s="228">
        <f>O102/N102</f>
        <v>1.002501529360924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25140.669999999995</v>
      </c>
      <c r="G103" s="28">
        <f>G43+G44+G46+G48+G50+G51+G52+G53+G54+G60+G64+G47</f>
        <v>611.1200000000002</v>
      </c>
      <c r="H103" s="228">
        <f>F103/E103</f>
        <v>1.0246943117531015</v>
      </c>
      <c r="I103" s="28">
        <f>I43+I44+I46+I48+I50+I51+I52+I53+I54+I60+I64+I47</f>
        <v>-33296.58</v>
      </c>
      <c r="J103" s="228">
        <f>F103/D103</f>
        <v>0.43017786713436273</v>
      </c>
      <c r="K103" s="28">
        <f aca="true" t="shared" si="25" ref="K103:P103">K43+K44+K46+K48+K50+K51+K52+K53+K54+K60+K64+K47</f>
        <v>22597.689999999995</v>
      </c>
      <c r="L103" s="28">
        <f t="shared" si="25"/>
        <v>2548.230000000001</v>
      </c>
      <c r="M103" s="28">
        <f t="shared" si="25"/>
        <v>17.713084682263524</v>
      </c>
      <c r="N103" s="28">
        <f>N43+N44+N46+N48+N50+N51+N52+N53+N54+N60+N64+N47+N66</f>
        <v>5182.8</v>
      </c>
      <c r="O103" s="227">
        <f>O43+O44+O46+O48+O50+O51+O52+O53+O54+O60+O64+O47+O66</f>
        <v>5531.233999999999</v>
      </c>
      <c r="P103" s="28">
        <f t="shared" si="25"/>
        <v>348.43399999999957</v>
      </c>
      <c r="Q103" s="228">
        <f>O103/N103</f>
        <v>1.0672289110133515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532467.3300000001</v>
      </c>
      <c r="G104" s="28">
        <f t="shared" si="26"/>
        <v>2965.280000000091</v>
      </c>
      <c r="H104" s="228">
        <f>F104/E104</f>
        <v>1.0055901590025293</v>
      </c>
      <c r="I104" s="28">
        <f t="shared" si="26"/>
        <v>-825018.5199999999</v>
      </c>
      <c r="J104" s="228">
        <f>F104/D104</f>
        <v>0.3922436986879693</v>
      </c>
      <c r="K104" s="28">
        <f t="shared" si="26"/>
        <v>22597.689999999995</v>
      </c>
      <c r="L104" s="28">
        <f t="shared" si="26"/>
        <v>2548.230000000001</v>
      </c>
      <c r="M104" s="28">
        <f t="shared" si="26"/>
        <v>17.713084682263524</v>
      </c>
      <c r="N104" s="28">
        <f t="shared" si="26"/>
        <v>112090.19999999998</v>
      </c>
      <c r="O104" s="227">
        <f t="shared" si="26"/>
        <v>112706.06600000002</v>
      </c>
      <c r="P104" s="28">
        <f t="shared" si="26"/>
        <v>615.8660000000439</v>
      </c>
      <c r="Q104" s="228">
        <f>O104/N104</f>
        <v>1.0054943786343502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-4.410000000095806</v>
      </c>
      <c r="H105" s="228"/>
      <c r="I105" s="28">
        <f t="shared" si="27"/>
        <v>-4.410000000149012</v>
      </c>
      <c r="J105" s="228"/>
      <c r="K105" s="28">
        <f t="shared" si="27"/>
        <v>375251.6</v>
      </c>
      <c r="L105" s="28">
        <f t="shared" si="27"/>
        <v>132070.65000000005</v>
      </c>
      <c r="M105" s="28">
        <f t="shared" si="27"/>
        <v>-16.37471816161446</v>
      </c>
      <c r="N105" s="28">
        <f t="shared" si="27"/>
        <v>0</v>
      </c>
      <c r="O105" s="28">
        <f t="shared" si="27"/>
        <v>0.34999999999126885</v>
      </c>
      <c r="P105" s="28">
        <f t="shared" si="27"/>
        <v>0.3499999999855845</v>
      </c>
      <c r="Q105" s="28"/>
      <c r="R105" s="28">
        <f t="shared" si="27"/>
        <v>109914</v>
      </c>
      <c r="S105" s="28"/>
      <c r="T105" s="28"/>
      <c r="U105" s="28">
        <f t="shared" si="27"/>
        <v>3.241670961803958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30328.82</v>
      </c>
      <c r="G111" s="190">
        <f>F111-E111</f>
        <v>-21183.54</v>
      </c>
      <c r="H111" s="191">
        <f>F111/E111*100</f>
        <v>58.87678219363275</v>
      </c>
      <c r="I111" s="192">
        <f>F111-D111</f>
        <v>-287735.43</v>
      </c>
      <c r="J111" s="192">
        <f>F111/D111*100</f>
        <v>9.535438201558332</v>
      </c>
      <c r="K111" s="192">
        <v>3039.87</v>
      </c>
      <c r="L111" s="192">
        <f>F111-K111</f>
        <v>27288.95</v>
      </c>
      <c r="M111" s="266">
        <f>F111/K111</f>
        <v>9.977012174862741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562796.99</v>
      </c>
      <c r="G112" s="190">
        <f>F112-E112</f>
        <v>-18222.670000000042</v>
      </c>
      <c r="H112" s="191">
        <f>F112/E112*100</f>
        <v>96.86367411388453</v>
      </c>
      <c r="I112" s="192">
        <f>F112-D112</f>
        <v>-1112758.36</v>
      </c>
      <c r="J112" s="192">
        <f>F112/D112*100</f>
        <v>33.58868389516347</v>
      </c>
      <c r="K112" s="192">
        <f>K89+K111</f>
        <v>416820.54</v>
      </c>
      <c r="L112" s="192">
        <f>F112-K112</f>
        <v>145976.45</v>
      </c>
      <c r="M112" s="266">
        <f>F112/K112</f>
        <v>1.3502141473162528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1108626.0699999998</v>
      </c>
      <c r="G124" s="275">
        <f t="shared" si="29"/>
        <v>-23049.190000000177</v>
      </c>
      <c r="H124" s="274">
        <f t="shared" si="31"/>
        <v>97.96326819055847</v>
      </c>
      <c r="I124" s="276">
        <f t="shared" si="30"/>
        <v>-1789797.9700000002</v>
      </c>
      <c r="J124" s="276">
        <f t="shared" si="32"/>
        <v>38.24927114529452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20" t="s">
        <v>183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5"/>
      <c r="S1" s="85"/>
      <c r="T1" s="85"/>
      <c r="U1" s="86"/>
    </row>
    <row r="2" spans="2:21" s="1" customFormat="1" ht="15.75" customHeight="1">
      <c r="B2" s="321"/>
      <c r="C2" s="321"/>
      <c r="D2" s="321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22"/>
      <c r="B3" s="324"/>
      <c r="C3" s="325" t="s">
        <v>0</v>
      </c>
      <c r="D3" s="326" t="s">
        <v>137</v>
      </c>
      <c r="E3" s="31"/>
      <c r="F3" s="327" t="s">
        <v>26</v>
      </c>
      <c r="G3" s="328"/>
      <c r="H3" s="328"/>
      <c r="I3" s="328"/>
      <c r="J3" s="329"/>
      <c r="K3" s="82"/>
      <c r="L3" s="82"/>
      <c r="M3" s="82"/>
      <c r="N3" s="330" t="s">
        <v>178</v>
      </c>
      <c r="O3" s="308" t="s">
        <v>177</v>
      </c>
      <c r="P3" s="308"/>
      <c r="Q3" s="308"/>
      <c r="R3" s="308"/>
      <c r="S3" s="308"/>
      <c r="T3" s="308"/>
      <c r="U3" s="308"/>
    </row>
    <row r="4" spans="1:21" ht="22.5" customHeight="1">
      <c r="A4" s="322"/>
      <c r="B4" s="324"/>
      <c r="C4" s="325"/>
      <c r="D4" s="326"/>
      <c r="E4" s="316" t="s">
        <v>174</v>
      </c>
      <c r="F4" s="302" t="s">
        <v>33</v>
      </c>
      <c r="G4" s="304" t="s">
        <v>175</v>
      </c>
      <c r="H4" s="306" t="s">
        <v>176</v>
      </c>
      <c r="I4" s="304" t="s">
        <v>125</v>
      </c>
      <c r="J4" s="306" t="s">
        <v>126</v>
      </c>
      <c r="K4" s="84" t="s">
        <v>128</v>
      </c>
      <c r="L4" s="202" t="s">
        <v>111</v>
      </c>
      <c r="M4" s="89" t="s">
        <v>63</v>
      </c>
      <c r="N4" s="306"/>
      <c r="O4" s="318" t="s">
        <v>184</v>
      </c>
      <c r="P4" s="304" t="s">
        <v>49</v>
      </c>
      <c r="Q4" s="30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23"/>
      <c r="B5" s="324"/>
      <c r="C5" s="325"/>
      <c r="D5" s="326"/>
      <c r="E5" s="317"/>
      <c r="F5" s="303"/>
      <c r="G5" s="305"/>
      <c r="H5" s="307"/>
      <c r="I5" s="305"/>
      <c r="J5" s="307"/>
      <c r="K5" s="310" t="s">
        <v>179</v>
      </c>
      <c r="L5" s="311"/>
      <c r="M5" s="312"/>
      <c r="N5" s="307"/>
      <c r="O5" s="319"/>
      <c r="P5" s="305"/>
      <c r="Q5" s="309"/>
      <c r="R5" s="313" t="s">
        <v>180</v>
      </c>
      <c r="S5" s="314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5"/>
      <c r="H92" s="315"/>
      <c r="I92" s="315"/>
      <c r="J92" s="315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00"/>
      <c r="P93" s="300"/>
    </row>
    <row r="94" spans="3:16" ht="15">
      <c r="C94" s="80">
        <v>42852</v>
      </c>
      <c r="D94" s="28">
        <v>13266.8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42851</v>
      </c>
      <c r="D95" s="28">
        <v>6064.2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102.57358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320" t="s">
        <v>172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5"/>
      <c r="S1" s="86"/>
      <c r="T1" s="243"/>
      <c r="U1" s="246"/>
      <c r="V1" s="256"/>
      <c r="W1" s="256"/>
    </row>
    <row r="2" spans="2:23" s="1" customFormat="1" ht="15.75" customHeight="1">
      <c r="B2" s="321"/>
      <c r="C2" s="321"/>
      <c r="D2" s="321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322"/>
      <c r="B3" s="324"/>
      <c r="C3" s="325" t="s">
        <v>0</v>
      </c>
      <c r="D3" s="326" t="s">
        <v>137</v>
      </c>
      <c r="E3" s="31"/>
      <c r="F3" s="327" t="s">
        <v>26</v>
      </c>
      <c r="G3" s="328"/>
      <c r="H3" s="328"/>
      <c r="I3" s="328"/>
      <c r="J3" s="329"/>
      <c r="K3" s="82"/>
      <c r="L3" s="82"/>
      <c r="M3" s="82"/>
      <c r="N3" s="330" t="s">
        <v>150</v>
      </c>
      <c r="O3" s="308" t="s">
        <v>151</v>
      </c>
      <c r="P3" s="308"/>
      <c r="Q3" s="308"/>
      <c r="R3" s="308"/>
      <c r="S3" s="308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322"/>
      <c r="B4" s="324"/>
      <c r="C4" s="325"/>
      <c r="D4" s="326"/>
      <c r="E4" s="316" t="s">
        <v>140</v>
      </c>
      <c r="F4" s="302" t="s">
        <v>33</v>
      </c>
      <c r="G4" s="304" t="s">
        <v>149</v>
      </c>
      <c r="H4" s="306" t="s">
        <v>163</v>
      </c>
      <c r="I4" s="304" t="s">
        <v>125</v>
      </c>
      <c r="J4" s="306" t="s">
        <v>126</v>
      </c>
      <c r="K4" s="84" t="s">
        <v>128</v>
      </c>
      <c r="L4" s="202" t="s">
        <v>111</v>
      </c>
      <c r="M4" s="89" t="s">
        <v>63</v>
      </c>
      <c r="N4" s="306"/>
      <c r="O4" s="318" t="s">
        <v>173</v>
      </c>
      <c r="P4" s="304" t="s">
        <v>49</v>
      </c>
      <c r="Q4" s="309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323"/>
      <c r="B5" s="324"/>
      <c r="C5" s="325"/>
      <c r="D5" s="326"/>
      <c r="E5" s="317"/>
      <c r="F5" s="303"/>
      <c r="G5" s="305"/>
      <c r="H5" s="307"/>
      <c r="I5" s="305"/>
      <c r="J5" s="307"/>
      <c r="K5" s="310" t="s">
        <v>156</v>
      </c>
      <c r="L5" s="311"/>
      <c r="M5" s="312"/>
      <c r="N5" s="307"/>
      <c r="O5" s="319"/>
      <c r="P5" s="305"/>
      <c r="Q5" s="309"/>
      <c r="R5" s="310" t="s">
        <v>102</v>
      </c>
      <c r="S5" s="312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15"/>
      <c r="H92" s="315"/>
      <c r="I92" s="315"/>
      <c r="J92" s="315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00"/>
      <c r="P93" s="300"/>
    </row>
    <row r="94" spans="3:16" ht="15">
      <c r="C94" s="80">
        <v>42824</v>
      </c>
      <c r="D94" s="28">
        <v>11112.7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42823</v>
      </c>
      <c r="D95" s="28">
        <v>8830.3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1399.2856000000002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0" t="s">
        <v>138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5"/>
      <c r="S1" s="86"/>
    </row>
    <row r="2" spans="2:19" s="1" customFormat="1" ht="15.75" customHeight="1">
      <c r="B2" s="321"/>
      <c r="C2" s="321"/>
      <c r="D2" s="321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22"/>
      <c r="B3" s="324"/>
      <c r="C3" s="325" t="s">
        <v>0</v>
      </c>
      <c r="D3" s="326" t="s">
        <v>137</v>
      </c>
      <c r="E3" s="31"/>
      <c r="F3" s="327" t="s">
        <v>26</v>
      </c>
      <c r="G3" s="328"/>
      <c r="H3" s="328"/>
      <c r="I3" s="328"/>
      <c r="J3" s="329"/>
      <c r="K3" s="82"/>
      <c r="L3" s="82"/>
      <c r="M3" s="82"/>
      <c r="N3" s="330" t="s">
        <v>131</v>
      </c>
      <c r="O3" s="308" t="s">
        <v>135</v>
      </c>
      <c r="P3" s="308"/>
      <c r="Q3" s="308"/>
      <c r="R3" s="308"/>
      <c r="S3" s="308"/>
    </row>
    <row r="4" spans="1:19" ht="22.5" customHeight="1">
      <c r="A4" s="322"/>
      <c r="B4" s="324"/>
      <c r="C4" s="325"/>
      <c r="D4" s="326"/>
      <c r="E4" s="316" t="s">
        <v>136</v>
      </c>
      <c r="F4" s="302" t="s">
        <v>33</v>
      </c>
      <c r="G4" s="304" t="s">
        <v>132</v>
      </c>
      <c r="H4" s="306" t="s">
        <v>133</v>
      </c>
      <c r="I4" s="304" t="s">
        <v>125</v>
      </c>
      <c r="J4" s="306" t="s">
        <v>126</v>
      </c>
      <c r="K4" s="84" t="s">
        <v>128</v>
      </c>
      <c r="L4" s="202" t="s">
        <v>111</v>
      </c>
      <c r="M4" s="89" t="s">
        <v>63</v>
      </c>
      <c r="N4" s="306"/>
      <c r="O4" s="318" t="s">
        <v>139</v>
      </c>
      <c r="P4" s="304" t="s">
        <v>49</v>
      </c>
      <c r="Q4" s="309" t="s">
        <v>48</v>
      </c>
      <c r="R4" s="90" t="s">
        <v>64</v>
      </c>
      <c r="S4" s="91" t="s">
        <v>63</v>
      </c>
    </row>
    <row r="5" spans="1:19" ht="67.5" customHeight="1">
      <c r="A5" s="323"/>
      <c r="B5" s="324"/>
      <c r="C5" s="325"/>
      <c r="D5" s="326"/>
      <c r="E5" s="317"/>
      <c r="F5" s="303"/>
      <c r="G5" s="305"/>
      <c r="H5" s="307"/>
      <c r="I5" s="305"/>
      <c r="J5" s="307"/>
      <c r="K5" s="310" t="s">
        <v>134</v>
      </c>
      <c r="L5" s="311"/>
      <c r="M5" s="312"/>
      <c r="N5" s="307"/>
      <c r="O5" s="319"/>
      <c r="P5" s="305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15"/>
      <c r="H89" s="315"/>
      <c r="I89" s="315"/>
      <c r="J89" s="315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00"/>
      <c r="P90" s="300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94"/>
      <c r="H91" s="294"/>
      <c r="I91" s="117"/>
      <c r="J91" s="297"/>
      <c r="K91" s="297"/>
      <c r="L91" s="297"/>
      <c r="M91" s="297"/>
      <c r="N91" s="297"/>
      <c r="O91" s="300"/>
      <c r="P91" s="300"/>
    </row>
    <row r="92" spans="3:16" ht="15.75" customHeight="1">
      <c r="C92" s="80">
        <v>42790</v>
      </c>
      <c r="D92" s="28">
        <v>4206.9</v>
      </c>
      <c r="F92" s="67"/>
      <c r="G92" s="294"/>
      <c r="H92" s="294"/>
      <c r="I92" s="117"/>
      <c r="J92" s="301"/>
      <c r="K92" s="301"/>
      <c r="L92" s="301"/>
      <c r="M92" s="301"/>
      <c r="N92" s="301"/>
      <c r="O92" s="300"/>
      <c r="P92" s="300"/>
    </row>
    <row r="93" spans="3:14" ht="15.75" customHeight="1">
      <c r="C93" s="80"/>
      <c r="F93" s="67"/>
      <c r="G93" s="296"/>
      <c r="H93" s="296"/>
      <c r="I93" s="123"/>
      <c r="J93" s="297"/>
      <c r="K93" s="297"/>
      <c r="L93" s="297"/>
      <c r="M93" s="297"/>
      <c r="N93" s="297"/>
    </row>
    <row r="94" spans="2:14" ht="18.75" customHeight="1">
      <c r="B94" s="298" t="s">
        <v>56</v>
      </c>
      <c r="C94" s="299"/>
      <c r="D94" s="132">
        <v>7713.34596</v>
      </c>
      <c r="E94" s="68"/>
      <c r="F94" s="124" t="s">
        <v>105</v>
      </c>
      <c r="G94" s="294"/>
      <c r="H94" s="294"/>
      <c r="I94" s="125"/>
      <c r="J94" s="297"/>
      <c r="K94" s="297"/>
      <c r="L94" s="297"/>
      <c r="M94" s="297"/>
      <c r="N94" s="297"/>
    </row>
    <row r="95" spans="6:13" ht="9.75" customHeight="1">
      <c r="F95" s="67"/>
      <c r="G95" s="294"/>
      <c r="H95" s="294"/>
      <c r="I95" s="67"/>
      <c r="J95" s="68"/>
      <c r="K95" s="68"/>
      <c r="L95" s="68"/>
      <c r="M95" s="68"/>
    </row>
    <row r="96" spans="2:13" ht="22.5" customHeight="1" hidden="1">
      <c r="B96" s="292" t="s">
        <v>59</v>
      </c>
      <c r="C96" s="293"/>
      <c r="D96" s="79">
        <v>0</v>
      </c>
      <c r="E96" s="50" t="s">
        <v>24</v>
      </c>
      <c r="F96" s="67"/>
      <c r="G96" s="294"/>
      <c r="H96" s="29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95"/>
      <c r="P98" s="295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0" t="s">
        <v>130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5"/>
      <c r="S1" s="86"/>
    </row>
    <row r="2" spans="2:19" s="1" customFormat="1" ht="15.75" customHeight="1">
      <c r="B2" s="321"/>
      <c r="C2" s="321"/>
      <c r="D2" s="321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22"/>
      <c r="B3" s="324"/>
      <c r="C3" s="325" t="s">
        <v>0</v>
      </c>
      <c r="D3" s="326" t="s">
        <v>121</v>
      </c>
      <c r="E3" s="31"/>
      <c r="F3" s="327" t="s">
        <v>26</v>
      </c>
      <c r="G3" s="328"/>
      <c r="H3" s="328"/>
      <c r="I3" s="328"/>
      <c r="J3" s="329"/>
      <c r="K3" s="82"/>
      <c r="L3" s="82"/>
      <c r="M3" s="82"/>
      <c r="N3" s="330" t="s">
        <v>119</v>
      </c>
      <c r="O3" s="308" t="s">
        <v>115</v>
      </c>
      <c r="P3" s="308"/>
      <c r="Q3" s="308"/>
      <c r="R3" s="308"/>
      <c r="S3" s="308"/>
    </row>
    <row r="4" spans="1:19" ht="22.5" customHeight="1">
      <c r="A4" s="322"/>
      <c r="B4" s="324"/>
      <c r="C4" s="325"/>
      <c r="D4" s="326"/>
      <c r="E4" s="316" t="s">
        <v>122</v>
      </c>
      <c r="F4" s="302" t="s">
        <v>33</v>
      </c>
      <c r="G4" s="304" t="s">
        <v>123</v>
      </c>
      <c r="H4" s="306" t="s">
        <v>124</v>
      </c>
      <c r="I4" s="304" t="s">
        <v>125</v>
      </c>
      <c r="J4" s="306" t="s">
        <v>126</v>
      </c>
      <c r="K4" s="84" t="s">
        <v>128</v>
      </c>
      <c r="L4" s="202" t="s">
        <v>111</v>
      </c>
      <c r="M4" s="89" t="s">
        <v>63</v>
      </c>
      <c r="N4" s="306"/>
      <c r="O4" s="318" t="s">
        <v>120</v>
      </c>
      <c r="P4" s="304" t="s">
        <v>49</v>
      </c>
      <c r="Q4" s="309" t="s">
        <v>48</v>
      </c>
      <c r="R4" s="90" t="s">
        <v>64</v>
      </c>
      <c r="S4" s="91" t="s">
        <v>63</v>
      </c>
    </row>
    <row r="5" spans="1:19" ht="67.5" customHeight="1">
      <c r="A5" s="323"/>
      <c r="B5" s="324"/>
      <c r="C5" s="325"/>
      <c r="D5" s="326"/>
      <c r="E5" s="317"/>
      <c r="F5" s="303"/>
      <c r="G5" s="305"/>
      <c r="H5" s="307"/>
      <c r="I5" s="305"/>
      <c r="J5" s="307"/>
      <c r="K5" s="310" t="s">
        <v>129</v>
      </c>
      <c r="L5" s="311"/>
      <c r="M5" s="312"/>
      <c r="N5" s="307"/>
      <c r="O5" s="319"/>
      <c r="P5" s="305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15"/>
      <c r="H89" s="315"/>
      <c r="I89" s="315"/>
      <c r="J89" s="315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00"/>
      <c r="P90" s="300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94"/>
      <c r="H91" s="294"/>
      <c r="I91" s="117"/>
      <c r="J91" s="297"/>
      <c r="K91" s="297"/>
      <c r="L91" s="297"/>
      <c r="M91" s="297"/>
      <c r="N91" s="297"/>
      <c r="O91" s="300"/>
      <c r="P91" s="300"/>
    </row>
    <row r="92" spans="3:16" ht="15.75" customHeight="1">
      <c r="C92" s="80">
        <v>42762</v>
      </c>
      <c r="D92" s="28">
        <v>8862.4</v>
      </c>
      <c r="F92" s="67"/>
      <c r="G92" s="294"/>
      <c r="H92" s="294"/>
      <c r="I92" s="117"/>
      <c r="J92" s="301"/>
      <c r="K92" s="301"/>
      <c r="L92" s="301"/>
      <c r="M92" s="301"/>
      <c r="N92" s="301"/>
      <c r="O92" s="300"/>
      <c r="P92" s="300"/>
    </row>
    <row r="93" spans="3:14" ht="15.75" customHeight="1">
      <c r="C93" s="80"/>
      <c r="F93" s="67"/>
      <c r="G93" s="296"/>
      <c r="H93" s="296"/>
      <c r="I93" s="123"/>
      <c r="J93" s="297"/>
      <c r="K93" s="297"/>
      <c r="L93" s="297"/>
      <c r="M93" s="297"/>
      <c r="N93" s="297"/>
    </row>
    <row r="94" spans="2:14" ht="18.75" customHeight="1">
      <c r="B94" s="298" t="s">
        <v>56</v>
      </c>
      <c r="C94" s="299"/>
      <c r="D94" s="132">
        <f>9505303.41/1000</f>
        <v>9505.30341</v>
      </c>
      <c r="E94" s="68"/>
      <c r="F94" s="124" t="s">
        <v>105</v>
      </c>
      <c r="G94" s="294"/>
      <c r="H94" s="294"/>
      <c r="I94" s="125"/>
      <c r="J94" s="297"/>
      <c r="K94" s="297"/>
      <c r="L94" s="297"/>
      <c r="M94" s="297"/>
      <c r="N94" s="297"/>
    </row>
    <row r="95" spans="6:13" ht="9.75" customHeight="1">
      <c r="F95" s="67"/>
      <c r="G95" s="294"/>
      <c r="H95" s="294"/>
      <c r="I95" s="67"/>
      <c r="J95" s="68"/>
      <c r="K95" s="68"/>
      <c r="L95" s="68"/>
      <c r="M95" s="68"/>
    </row>
    <row r="96" spans="2:13" ht="22.5" customHeight="1" hidden="1">
      <c r="B96" s="292" t="s">
        <v>59</v>
      </c>
      <c r="C96" s="293"/>
      <c r="D96" s="79">
        <v>0</v>
      </c>
      <c r="E96" s="50" t="s">
        <v>24</v>
      </c>
      <c r="F96" s="67"/>
      <c r="G96" s="294"/>
      <c r="H96" s="29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95"/>
      <c r="P98" s="295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2017-06-19T11:09:23Z</cp:lastPrinted>
  <dcterms:created xsi:type="dcterms:W3CDTF">2003-07-28T11:27:56Z</dcterms:created>
  <dcterms:modified xsi:type="dcterms:W3CDTF">2017-06-20T08:07:41Z</dcterms:modified>
  <cp:category/>
  <cp:version/>
  <cp:contentType/>
  <cp:contentStatus/>
</cp:coreProperties>
</file>